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440" windowHeight="12075" tabRatio="968" firstSheet="4" activeTab="27"/>
  </bookViews>
  <sheets>
    <sheet name="Приложение №1 2014" sheetId="1" state="hidden" r:id="rId1"/>
    <sheet name="Приложение №1 2015" sheetId="2" state="hidden" r:id="rId2"/>
    <sheet name="Приложение №1 2016" sheetId="3" state="hidden" r:id="rId3"/>
    <sheet name="Приложение № 1 2017" sheetId="4" state="hidden" r:id="rId4"/>
    <sheet name="Приложение №1 2018" sheetId="5" r:id="rId5"/>
    <sheet name="Приложение №1 2019" sheetId="6" r:id="rId6"/>
    <sheet name="20" sheetId="7" state="hidden" r:id="rId7"/>
    <sheet name="08" sheetId="8" state="hidden" r:id="rId8"/>
    <sheet name="Приложение №1 2020" sheetId="9" r:id="rId9"/>
    <sheet name="Приложение № 2" sheetId="10" r:id="rId10"/>
    <sheet name="Приложение № 3" sheetId="11" r:id="rId11"/>
    <sheet name="Себестоимость_2018" sheetId="12" state="hidden" r:id="rId12"/>
    <sheet name="ФОТ_2018" sheetId="13" state="hidden" r:id="rId13"/>
    <sheet name="Себестоимость_2020" sheetId="14" r:id="rId14"/>
    <sheet name="ФОТ_2020" sheetId="15" r:id="rId15"/>
    <sheet name="Себестоимость_2019" sheetId="16" state="hidden" r:id="rId16"/>
    <sheet name="Расходы по 08_льготное ТП" sheetId="17" state="hidden" r:id="rId17"/>
    <sheet name="ФОТ_2019" sheetId="18" state="hidden" r:id="rId18"/>
    <sheet name="Приложение №4 2019" sheetId="19" r:id="rId19"/>
    <sheet name="Приложение № 4 2017" sheetId="20" state="hidden" r:id="rId20"/>
    <sheet name="Приложение № 5 2014" sheetId="21" state="hidden" r:id="rId21"/>
    <sheet name="Приложение № 5 2015" sheetId="22" state="hidden" r:id="rId22"/>
    <sheet name="Приложение № 5 2016" sheetId="23" state="hidden" r:id="rId23"/>
    <sheet name="Приложение №4 2020" sheetId="24" r:id="rId24"/>
    <sheet name="Приложение № 5 2017" sheetId="25" state="hidden" r:id="rId25"/>
    <sheet name="Приложение №5 2018" sheetId="26" r:id="rId26"/>
    <sheet name="Приложение №5 2019" sheetId="27" r:id="rId27"/>
    <sheet name="Приложение №5 2020" sheetId="28" r:id="rId28"/>
  </sheets>
  <externalReferences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</externalReferences>
  <definedNames>
    <definedName name="___CST11">'[1]MAIN'!$106:$106</definedName>
    <definedName name="___CST12">'[1]MAIN'!$116:$116</definedName>
    <definedName name="___CST13">'[1]MAIN'!$126:$126</definedName>
    <definedName name="___CST14">'[1]MAIN'!$346:$346</definedName>
    <definedName name="___CST15">'[1]MAIN'!$1198:$1198</definedName>
    <definedName name="___CST21">'[1]MAIN'!$109:$109</definedName>
    <definedName name="___CST22">'[1]MAIN'!$119:$119</definedName>
    <definedName name="___CST23">'[1]MAIN'!$129:$129</definedName>
    <definedName name="___CST24">'[1]MAIN'!$349:$349</definedName>
    <definedName name="___CST25">'[1]MAIN'!$1200:$1200</definedName>
    <definedName name="___FXA1">'[1]MAIN'!$261:$261</definedName>
    <definedName name="___FXA11">'[1]MAIN'!$1204:$1204</definedName>
    <definedName name="___FXA2">'[1]MAIN'!$280:$280</definedName>
    <definedName name="___FXA21">'[1]MAIN'!$1206:$1206</definedName>
    <definedName name="___IRR1">'[1]MAIN'!$D$1013</definedName>
    <definedName name="___KRD1">'[1]MAIN'!$524:$524</definedName>
    <definedName name="___KRD2">'[1]MAIN'!$552:$552</definedName>
    <definedName name="___LIS1">'[1]MAIN'!$325:$325</definedName>
    <definedName name="___NPV1">'[1]MAIN'!$D$1004</definedName>
    <definedName name="___PR11">'[1]MAIN'!$66:$66</definedName>
    <definedName name="___PR12">'[1]MAIN'!$76:$76</definedName>
    <definedName name="___PR13">'[1]MAIN'!$86:$86</definedName>
    <definedName name="___PR14">'[1]MAIN'!$1194:$1194</definedName>
    <definedName name="___PR21">'[1]MAIN'!$69:$69</definedName>
    <definedName name="___PR22">'[1]MAIN'!$79:$79</definedName>
    <definedName name="___PR23">'[1]MAIN'!$89:$89</definedName>
    <definedName name="___PR24">'[1]MAIN'!$1196:$1196</definedName>
    <definedName name="___RAZ1">#REF!</definedName>
    <definedName name="___RAZ2">#REF!</definedName>
    <definedName name="___RAZ3">#REF!</definedName>
    <definedName name="___SAL1">'[1]MAIN'!$151:$151</definedName>
    <definedName name="___SAL2">'[1]MAIN'!$161:$161</definedName>
    <definedName name="___SAL3">'[1]MAIN'!$171:$171</definedName>
    <definedName name="___SAL4">'[1]MAIN'!$181:$181</definedName>
    <definedName name="___tab1">'[1]MAIN'!$A$33:$AL$60</definedName>
    <definedName name="___tab10">'[1]MAIN'!$A$241:$AL$299</definedName>
    <definedName name="___tab11">'[1]MAIN'!$A$301:$AL$337</definedName>
    <definedName name="___tab12">'[1]MAIN'!$A$339:$AL$401</definedName>
    <definedName name="___tab13">'[1]MAIN'!$A$403:$AL$437</definedName>
    <definedName name="___tab14">'[1]MAIN'!$A$439:$AL$481</definedName>
    <definedName name="___tab15">'[1]MAIN'!$A$483:$AL$528</definedName>
    <definedName name="___tab16">'[1]MAIN'!$A$530:$AL$556</definedName>
    <definedName name="___tab17">'[1]MAIN'!$A$558:$AL$588</definedName>
    <definedName name="___tab18">'[1]MAIN'!$A$590:$AL$701</definedName>
    <definedName name="___tab19">'[1]MAIN'!$A$703:$AL$727</definedName>
    <definedName name="___tab2">'[1]MAIN'!$A$62:$AL$70</definedName>
    <definedName name="___tab20">'[1]MAIN'!$A$729:$AL$774</definedName>
    <definedName name="___tab21">'[1]MAIN'!$A$776:$AL$807</definedName>
    <definedName name="___tab22">'[1]MAIN'!$A$809:$AL$822</definedName>
    <definedName name="___tab23">'[1]MAIN'!$A$824:$AL$847</definedName>
    <definedName name="___tab24">'[1]MAIN'!$A$849:$AL$878</definedName>
    <definedName name="___tab25">'[1]MAIN'!$A$880:$AK$929</definedName>
    <definedName name="___tab26">'[1]MAIN'!$A$932:$AK$956</definedName>
    <definedName name="___tab27">'[1]MAIN'!$A$958:$AL$1027</definedName>
    <definedName name="___tab28">'[1]MAIN'!$A$1029:$AL$1088</definedName>
    <definedName name="___tab29">'[1]MAIN'!$A$1090:$AL$1139</definedName>
    <definedName name="___tab3">'[1]MAIN'!$A$72:$AL$80</definedName>
    <definedName name="___tab30">'[1]MAIN'!$A$1141:$AL$1184</definedName>
    <definedName name="___tab31">'[1]MAIN'!$A$1186:$AK$1206</definedName>
    <definedName name="___tab4">'[1]MAIN'!$A$82:$AL$100</definedName>
    <definedName name="___tab5">'[1]MAIN'!$A$102:$AL$110</definedName>
    <definedName name="___tab6">'[1]MAIN'!$A$112:$AL$120</definedName>
    <definedName name="___tab7">'[1]MAIN'!$A$122:$AL$140</definedName>
    <definedName name="___tab8">'[1]MAIN'!$A$142:$AL$190</definedName>
    <definedName name="___tab9">'[1]MAIN'!$A$192:$AL$239</definedName>
    <definedName name="___TXS1">'[1]MAIN'!$647:$647</definedName>
    <definedName name="___TXS11">'[1]MAIN'!$1105:$1105</definedName>
    <definedName name="___TXS2">'[1]MAIN'!$680:$680</definedName>
    <definedName name="___TXS21">'[1]MAIN'!$1111:$1111</definedName>
    <definedName name="___VC1">'[1]MAIN'!$F$1249:$AL$1249</definedName>
    <definedName name="___VC2">'[1]MAIN'!$F$1250:$AL$1250</definedName>
    <definedName name="__CST11">'[1]MAIN'!$106:$106</definedName>
    <definedName name="__CST12">'[1]MAIN'!$116:$116</definedName>
    <definedName name="__CST13">'[1]MAIN'!$126:$126</definedName>
    <definedName name="__CST14">'[1]MAIN'!$346:$346</definedName>
    <definedName name="__CST15">'[1]MAIN'!$1198:$1198</definedName>
    <definedName name="__CST21">'[1]MAIN'!$109:$109</definedName>
    <definedName name="__CST22">'[1]MAIN'!$119:$119</definedName>
    <definedName name="__CST23">'[1]MAIN'!$129:$129</definedName>
    <definedName name="__CST24">'[1]MAIN'!$349:$349</definedName>
    <definedName name="__CST25">'[1]MAIN'!$1200:$1200</definedName>
    <definedName name="__FXA1">'[1]MAIN'!$261:$261</definedName>
    <definedName name="__FXA11">'[1]MAIN'!$1204:$1204</definedName>
    <definedName name="__FXA2">'[1]MAIN'!$280:$280</definedName>
    <definedName name="__FXA21">'[1]MAIN'!$1206:$1206</definedName>
    <definedName name="__IRR1">'[1]MAIN'!$D$1013</definedName>
    <definedName name="__KRD1">'[1]MAIN'!$524:$524</definedName>
    <definedName name="__KRD2">'[1]MAIN'!$552:$552</definedName>
    <definedName name="__LIS1">'[1]MAIN'!$325:$325</definedName>
    <definedName name="__NPV1">'[1]MAIN'!$D$1004</definedName>
    <definedName name="__PR11">'[1]MAIN'!$66:$66</definedName>
    <definedName name="__PR12">'[1]MAIN'!$76:$76</definedName>
    <definedName name="__PR13">'[1]MAIN'!$86:$86</definedName>
    <definedName name="__PR14">'[1]MAIN'!$1194:$1194</definedName>
    <definedName name="__PR21">'[1]MAIN'!$69:$69</definedName>
    <definedName name="__PR22">'[1]MAIN'!$79:$79</definedName>
    <definedName name="__PR23">'[1]MAIN'!$89:$89</definedName>
    <definedName name="__PR24">'[1]MAIN'!$1196:$1196</definedName>
    <definedName name="__RAZ1">#REF!</definedName>
    <definedName name="__RAZ2">#REF!</definedName>
    <definedName name="__RAZ3">#REF!</definedName>
    <definedName name="__SAL1">'[1]MAIN'!$151:$151</definedName>
    <definedName name="__SAL2">'[1]MAIN'!$161:$161</definedName>
    <definedName name="__SAL3">'[1]MAIN'!$171:$171</definedName>
    <definedName name="__SAL4">'[1]MAIN'!$181:$181</definedName>
    <definedName name="__tab1">'[1]MAIN'!$A$33:$AL$60</definedName>
    <definedName name="__tab10">'[1]MAIN'!$A$241:$AL$299</definedName>
    <definedName name="__tab11">'[1]MAIN'!$A$301:$AL$337</definedName>
    <definedName name="__tab12">'[1]MAIN'!$A$339:$AL$401</definedName>
    <definedName name="__tab13">'[1]MAIN'!$A$403:$AL$437</definedName>
    <definedName name="__tab14">'[1]MAIN'!$A$439:$AL$481</definedName>
    <definedName name="__tab15">'[1]MAIN'!$A$483:$AL$528</definedName>
    <definedName name="__tab16">'[1]MAIN'!$A$530:$AL$556</definedName>
    <definedName name="__tab17">'[1]MAIN'!$A$558:$AL$588</definedName>
    <definedName name="__tab18">'[1]MAIN'!$A$590:$AL$701</definedName>
    <definedName name="__tab19">'[1]MAIN'!$A$703:$AL$727</definedName>
    <definedName name="__tab2">'[1]MAIN'!$A$62:$AL$70</definedName>
    <definedName name="__tab20">'[1]MAIN'!$A$729:$AL$774</definedName>
    <definedName name="__tab21">'[1]MAIN'!$A$776:$AL$807</definedName>
    <definedName name="__tab22">'[1]MAIN'!$A$809:$AL$822</definedName>
    <definedName name="__tab23">'[1]MAIN'!$A$824:$AL$847</definedName>
    <definedName name="__tab24">'[1]MAIN'!$A$849:$AL$878</definedName>
    <definedName name="__tab25">'[1]MAIN'!$A$880:$AK$929</definedName>
    <definedName name="__tab26">'[1]MAIN'!$A$932:$AK$956</definedName>
    <definedName name="__tab27">'[1]MAIN'!$A$958:$AL$1027</definedName>
    <definedName name="__tab28">'[1]MAIN'!$A$1029:$AL$1088</definedName>
    <definedName name="__tab29">'[1]MAIN'!$A$1090:$AL$1139</definedName>
    <definedName name="__tab3">'[1]MAIN'!$A$72:$AL$80</definedName>
    <definedName name="__tab30">'[1]MAIN'!$A$1141:$AL$1184</definedName>
    <definedName name="__tab31">'[1]MAIN'!$A$1186:$AK$1206</definedName>
    <definedName name="__tab4">'[1]MAIN'!$A$82:$AL$100</definedName>
    <definedName name="__tab5">'[1]MAIN'!$A$102:$AL$110</definedName>
    <definedName name="__tab6">'[1]MAIN'!$A$112:$AL$120</definedName>
    <definedName name="__tab7">'[1]MAIN'!$A$122:$AL$140</definedName>
    <definedName name="__tab8">'[1]MAIN'!$A$142:$AL$190</definedName>
    <definedName name="__tab9">'[1]MAIN'!$A$192:$AL$239</definedName>
    <definedName name="__TXS1">'[1]MAIN'!$647:$647</definedName>
    <definedName name="__TXS11">'[1]MAIN'!$1105:$1105</definedName>
    <definedName name="__TXS2">'[1]MAIN'!$680:$680</definedName>
    <definedName name="__TXS21">'[1]MAIN'!$1111:$1111</definedName>
    <definedName name="__VC1">'[1]MAIN'!$F$1249:$AL$1249</definedName>
    <definedName name="__VC2">'[1]MAIN'!$F$1250:$AL$1250</definedName>
    <definedName name="_CST11">'[1]MAIN'!$106:$106</definedName>
    <definedName name="_CST12">'[1]MAIN'!$116:$116</definedName>
    <definedName name="_CST13">'[1]MAIN'!$126:$126</definedName>
    <definedName name="_CST14">'[1]MAIN'!$346:$346</definedName>
    <definedName name="_CST15">'[1]MAIN'!$1198:$1198</definedName>
    <definedName name="_CST21">'[1]MAIN'!$109:$109</definedName>
    <definedName name="_CST22">'[1]MAIN'!$119:$119</definedName>
    <definedName name="_CST23">'[1]MAIN'!$129:$129</definedName>
    <definedName name="_CST24">'[1]MAIN'!$349:$349</definedName>
    <definedName name="_CST25">'[1]MAIN'!$1200:$1200</definedName>
    <definedName name="_FXA1">'[1]MAIN'!$261:$261</definedName>
    <definedName name="_FXA11">'[1]MAIN'!$1204:$1204</definedName>
    <definedName name="_FXA2">'[1]MAIN'!$280:$280</definedName>
    <definedName name="_FXA21">'[1]MAIN'!$1206:$1206</definedName>
    <definedName name="_IRR1">'[1]MAIN'!$D$1013</definedName>
    <definedName name="_KRD1">'[1]MAIN'!$524:$524</definedName>
    <definedName name="_KRD2">'[1]MAIN'!$552:$552</definedName>
    <definedName name="_LIS1">'[1]MAIN'!$325:$325</definedName>
    <definedName name="_NPV1">'[1]MAIN'!$D$1004</definedName>
    <definedName name="_PR11">'[1]MAIN'!$66:$66</definedName>
    <definedName name="_PR12">'[1]MAIN'!$76:$76</definedName>
    <definedName name="_PR13">'[1]MAIN'!$86:$86</definedName>
    <definedName name="_PR14">'[1]MAIN'!$1194:$1194</definedName>
    <definedName name="_PR21">'[1]MAIN'!$69:$69</definedName>
    <definedName name="_PR22">'[1]MAIN'!$79:$79</definedName>
    <definedName name="_PR23">'[1]MAIN'!$89:$89</definedName>
    <definedName name="_PR24">'[1]MAIN'!$1196:$1196</definedName>
    <definedName name="_RAZ1">#REF!</definedName>
    <definedName name="_RAZ2">#REF!</definedName>
    <definedName name="_RAZ3">#REF!</definedName>
    <definedName name="_SAL1">'[1]MAIN'!$151:$151</definedName>
    <definedName name="_SAL2">'[1]MAIN'!$161:$161</definedName>
    <definedName name="_SAL3">'[1]MAIN'!$171:$171</definedName>
    <definedName name="_SAL4">'[1]MAIN'!$181:$181</definedName>
    <definedName name="_tab1">'[1]MAIN'!$A$33:$AL$60</definedName>
    <definedName name="_tab10">'[1]MAIN'!$A$241:$AL$299</definedName>
    <definedName name="_tab11">'[1]MAIN'!$A$301:$AL$337</definedName>
    <definedName name="_tab12">'[1]MAIN'!$A$339:$AL$401</definedName>
    <definedName name="_tab13">'[1]MAIN'!$A$403:$AL$437</definedName>
    <definedName name="_tab14">'[1]MAIN'!$A$439:$AL$481</definedName>
    <definedName name="_tab15">'[1]MAIN'!$A$483:$AL$528</definedName>
    <definedName name="_tab16">'[1]MAIN'!$A$530:$AL$556</definedName>
    <definedName name="_tab17">'[1]MAIN'!$A$558:$AL$588</definedName>
    <definedName name="_tab18">'[1]MAIN'!$A$590:$AL$701</definedName>
    <definedName name="_tab19">'[1]MAIN'!$A$703:$AL$727</definedName>
    <definedName name="_tab2">'[1]MAIN'!$A$62:$AL$70</definedName>
    <definedName name="_tab20">'[1]MAIN'!$A$729:$AL$774</definedName>
    <definedName name="_tab21">'[1]MAIN'!$A$776:$AL$807</definedName>
    <definedName name="_tab22">'[1]MAIN'!$A$809:$AL$822</definedName>
    <definedName name="_tab23">'[1]MAIN'!$A$824:$AL$847</definedName>
    <definedName name="_tab24">'[1]MAIN'!$A$849:$AL$878</definedName>
    <definedName name="_tab25">'[1]MAIN'!$A$880:$AK$929</definedName>
    <definedName name="_tab26">'[1]MAIN'!$A$932:$AK$956</definedName>
    <definedName name="_tab27">'[1]MAIN'!$A$958:$AL$1027</definedName>
    <definedName name="_tab28">'[1]MAIN'!$A$1029:$AL$1088</definedName>
    <definedName name="_tab29">'[1]MAIN'!$A$1090:$AL$1139</definedName>
    <definedName name="_tab3">'[1]MAIN'!$A$72:$AL$80</definedName>
    <definedName name="_tab30">'[1]MAIN'!$A$1141:$AL$1184</definedName>
    <definedName name="_tab31">'[1]MAIN'!$A$1186:$AK$1206</definedName>
    <definedName name="_tab4">'[1]MAIN'!$A$82:$AL$100</definedName>
    <definedName name="_tab5">'[1]MAIN'!$A$102:$AL$110</definedName>
    <definedName name="_tab6">'[1]MAIN'!$A$112:$AL$120</definedName>
    <definedName name="_tab7">'[1]MAIN'!$A$122:$AL$140</definedName>
    <definedName name="_tab8">'[1]MAIN'!$A$142:$AL$190</definedName>
    <definedName name="_tab9">'[1]MAIN'!$A$192:$AL$239</definedName>
    <definedName name="_TXS1">'[1]MAIN'!$647:$647</definedName>
    <definedName name="_TXS11">'[1]MAIN'!$1105:$1105</definedName>
    <definedName name="_TXS2">'[1]MAIN'!$680:$680</definedName>
    <definedName name="_TXS21">'[1]MAIN'!$1111:$1111</definedName>
    <definedName name="_VC1">'[1]MAIN'!$F$1249:$AL$1249</definedName>
    <definedName name="_VC2">'[1]MAIN'!$F$1250:$AL$1250</definedName>
    <definedName name="_xlnm._FilterDatabase" localSheetId="7" hidden="1">'08'!$A$1:$A$82</definedName>
    <definedName name="_xlnm._FilterDatabase" localSheetId="6" hidden="1">'20'!$Q$1:$Q$148</definedName>
    <definedName name="A">#REF!</definedName>
    <definedName name="B">#REF!</definedName>
    <definedName name="cash">'[1]MAIN'!$F$876:$AL$876</definedName>
    <definedName name="cash1">'[1]MAIN'!$F$1251:$AJ$1251</definedName>
    <definedName name="cash2">'[1]MAIN'!$F$1252:$AJ$1252</definedName>
    <definedName name="cashforeign">'[1]MAIN'!$F$845:$AL$845</definedName>
    <definedName name="cashlocal">'[1]MAIN'!$F$805:$AL$805</definedName>
    <definedName name="COST1">'[1]MAIN'!$105:$106</definedName>
    <definedName name="COST2">'[1]MAIN'!$108:$109</definedName>
    <definedName name="cur_assets">'[1]MAIN'!$F$899:$AK$899</definedName>
    <definedName name="cur_liab">'[1]MAIN'!$F$923:$AK$923</definedName>
    <definedName name="data_">'[1]MAIN'!$F$18</definedName>
    <definedName name="DPAYB">'[1]MAIN'!$D$1002</definedName>
    <definedName name="FIXASSETS1">'[1]MAIN'!$245:$260</definedName>
    <definedName name="FIXASSETS2">'[1]MAIN'!$263:$279</definedName>
    <definedName name="I">'[2]Списки'!$K$38:$K$85</definedName>
    <definedName name="INDASS1">'[1]MAIN'!$F$247:$AJ$247</definedName>
    <definedName name="INDASS2">'[1]MAIN'!$F$265:$AJ$265</definedName>
    <definedName name="ISHOD1">#REF!</definedName>
    <definedName name="ISHOD2_1">#REF!</definedName>
    <definedName name="ISHOD2_2">#REF!</definedName>
    <definedName name="koeff1">'[1]MAIN'!$C$1327</definedName>
    <definedName name="koeff2">'[1]MAIN'!$C$1328</definedName>
    <definedName name="koeff3">'[1]MAIN'!$C$1329</definedName>
    <definedName name="koeff4">'[1]MAIN'!$C$1330</definedName>
    <definedName name="koeff5">'[1]MAIN'!$F$980</definedName>
    <definedName name="KREDIT1">'[1]MAIN'!$486:$504</definedName>
    <definedName name="KREDIT2">'[1]MAIN'!$533:$551</definedName>
    <definedName name="labor_costs">'[1]MAIN'!$F$187:$AL$187</definedName>
    <definedName name="Language">'[1]MAIN'!$F$1247</definedName>
    <definedName name="lastcolumn">'[1]MAIN'!$AJ:$AJ</definedName>
    <definedName name="LISING1">'[1]MAIN'!$305:$324</definedName>
    <definedName name="MAXWC">'[1]MAIN'!$C$1340</definedName>
    <definedName name="Method">'[1]MAIN'!$F$29</definedName>
    <definedName name="MINCASH">'[1]MAIN'!$C$1338</definedName>
    <definedName name="minlabor_costs">'[1]MAIN'!$F$594:$AL$594</definedName>
    <definedName name="MINPROFIT">'[1]MAIN'!$C$1339</definedName>
    <definedName name="Money1">'[1]MAIN'!$F$20</definedName>
    <definedName name="Money11">'[1]MAIN'!$F$21</definedName>
    <definedName name="Money2">'[1]MAIN'!$F$24</definedName>
    <definedName name="Money21">'[1]MAIN'!$F$25</definedName>
    <definedName name="MoneyR">'[1]MAIN'!$F$1248</definedName>
    <definedName name="npi">'[1]MAIN'!$F$1245:$AK$1245</definedName>
    <definedName name="NPVR">'[1]MAIN'!$D$1025</definedName>
    <definedName name="OTCST1">'[1]MAIN'!$200:$200</definedName>
    <definedName name="OTCST2">'[1]MAIN'!$204:$204</definedName>
    <definedName name="OTCST3">'[1]MAIN'!$229:$229</definedName>
    <definedName name="OTHER_COST2">'[1]MAIN'!$204:$204</definedName>
    <definedName name="OTHER_COST3">'[1]MAIN'!$228:$229</definedName>
    <definedName name="OTHERCOST1">'[1]MAIN'!$200:$200</definedName>
    <definedName name="PARAM1_1">#REF!</definedName>
    <definedName name="PARAM1_2">#REF!</definedName>
    <definedName name="PARAM2">#REF!</definedName>
    <definedName name="PARSENS1_1">'[1]MAIN'!$B$1344</definedName>
    <definedName name="PARSENS1_2">'[1]MAIN'!$C$1344</definedName>
    <definedName name="PARSENS2">'[1]MAIN'!$A$1355</definedName>
    <definedName name="pi">'[1]MAIN'!$F$16</definedName>
    <definedName name="PRINT_SENS">#REF!</definedName>
    <definedName name="PRO">'[1]MAIN'!#REF!</definedName>
    <definedName name="PROD1">'[1]MAIN'!$65:$66</definedName>
    <definedName name="PROD2">'[1]MAIN'!$68:$69</definedName>
    <definedName name="project">'[1]MAIN'!$A$13</definedName>
    <definedName name="RAZMER1">#REF!</definedName>
    <definedName name="RAZMER2">#REF!</definedName>
    <definedName name="RAZMER3">#REF!</definedName>
    <definedName name="Rep_cur">'[1]MAIN'!$F$28</definedName>
    <definedName name="revenues">'[1]MAIN'!$F$90:$AL$90</definedName>
    <definedName name="SALAR1">'[1]MAIN'!$146:$150</definedName>
    <definedName name="SALAR2">'[1]MAIN'!$156:$160</definedName>
    <definedName name="SALAR3">'[1]MAIN'!$166:$170</definedName>
    <definedName name="SALAR4">'[1]MAIN'!$176:$180</definedName>
    <definedName name="SENSTAB1">'[1]MAIN'!$A$1344:$C$1351</definedName>
    <definedName name="SENSTAB2">'[1]MAIN'!$A$1355:$H$1360</definedName>
    <definedName name="social">'[1]MAIN'!$F$627:$AJ$627</definedName>
    <definedName name="SPAYB">'[1]MAIN'!$D$1000</definedName>
    <definedName name="SUMMBLOCK">'[1]MAIN'!$A$1211:$AL$1241</definedName>
    <definedName name="tab0">'[1]MAIN'!$A$13:$F$30</definedName>
    <definedName name="TAXE1">'[1]MAIN'!$641:$646</definedName>
    <definedName name="TAXE2">'[1]MAIN'!$674:$679</definedName>
    <definedName name="TOTWC">'[1]MAIN'!$C$1341</definedName>
    <definedName name="VAT">'[1]MAIN'!$F$597</definedName>
    <definedName name="Максим">#REF!</definedName>
    <definedName name="Проц1">'[1]MAIN'!$F$186</definedName>
    <definedName name="ПроцИзПр1">'[1]MAIN'!$F$188</definedName>
    <definedName name="РЭС">'[3]Лист3'!$A$1:$A$16</definedName>
    <definedName name="СтНПр1">'[1]MAIN'!$F$180</definedName>
    <definedName name="Тамбовский">#REF!</definedName>
    <definedName name="ЧП1">'[1]MAIN'!$F$396</definedName>
  </definedNames>
  <calcPr fullCalcOnLoad="1"/>
</workbook>
</file>

<file path=xl/comments7.xml><?xml version="1.0" encoding="utf-8"?>
<comments xmlns="http://schemas.openxmlformats.org/spreadsheetml/2006/main">
  <authors>
    <author>firsovaso</author>
  </authors>
  <commentList>
    <comment ref="F5" authorId="0">
      <text>
        <r>
          <rPr>
            <b/>
            <sz val="9"/>
            <rFont val="Tahoma"/>
            <family val="2"/>
          </rPr>
          <t>firsovaso:</t>
        </r>
        <r>
          <rPr>
            <sz val="9"/>
            <rFont val="Tahoma"/>
            <family val="2"/>
          </rPr>
          <t xml:space="preserve">
реализация 31.12.2015г</t>
        </r>
      </text>
    </comment>
  </commentList>
</comments>
</file>

<file path=xl/sharedStrings.xml><?xml version="1.0" encoding="utf-8"?>
<sst xmlns="http://schemas.openxmlformats.org/spreadsheetml/2006/main" count="2137" uniqueCount="675">
  <si>
    <t>Приложение № 1  </t>
  </si>
  <si>
    <t>к Методическим указаниям по определению размера платы за технологическое присоединение к электрическим сетям</t>
  </si>
  <si>
    <t>(заполняется отдельно для территорий городских населенных пунктов и территорий, не относящихся к городским населенным пунктам)</t>
  </si>
  <si>
    <t>№</t>
  </si>
  <si>
    <t>Объект электросетевого хозяйства</t>
  </si>
  <si>
    <t xml:space="preserve">Год ввода объекта </t>
  </si>
  <si>
    <t>Уровень напряжения, кВ</t>
  </si>
  <si>
    <t>Протяженность 
(для линий электропередачи), м</t>
  </si>
  <si>
    <t>Максимальная мощность, кВт</t>
  </si>
  <si>
    <t>Расходы на строительство объекта, тыс. руб.</t>
  </si>
  <si>
    <t>1.</t>
  </si>
  <si>
    <t>Строительство воздушных линий</t>
  </si>
  <si>
    <t>до 25 квадратных мм включительно</t>
  </si>
  <si>
    <t xml:space="preserve"> свыше 25 до 50 квадратных мм включительно</t>
  </si>
  <si>
    <t>свыше 50 до 100 квадратных мм включительно</t>
  </si>
  <si>
    <t>2.</t>
  </si>
  <si>
    <t>Строительство кабельных линий</t>
  </si>
  <si>
    <t>свыше 50 до 75 квадратных мм включительно</t>
  </si>
  <si>
    <t>свыше 75 до 100 квадратных мм включительно</t>
  </si>
  <si>
    <t>свыше 100 до 200 квадратных мм включительно</t>
  </si>
  <si>
    <t xml:space="preserve"> свыше 200 квадратных мм</t>
  </si>
  <si>
    <t xml:space="preserve"> свыше 100 до 200 квадратных мм</t>
  </si>
  <si>
    <t>свыше 200  квадратных мм</t>
  </si>
  <si>
    <t>до 100 квадратных мм включительно</t>
  </si>
  <si>
    <t>3.</t>
  </si>
  <si>
    <t>Строительство пунктов секционирования</t>
  </si>
  <si>
    <t>4.</t>
  </si>
  <si>
    <t>Строительство трансформаторных подстанций (ТП), за исключением распределительных трансформаторных подстанций (РТП), с уровнем напряжения до 35 кВ</t>
  </si>
  <si>
    <t>4.1.1.2.6.</t>
  </si>
  <si>
    <t>250 кВА</t>
  </si>
  <si>
    <t>2*400 кВА</t>
  </si>
  <si>
    <t>4.1.2.2.2.</t>
  </si>
  <si>
    <t>5.</t>
  </si>
  <si>
    <t>Строительство распределительных трансформаторных подстанций (РТП) с уровнем напряжения до 35 кВ</t>
  </si>
  <si>
    <t>6.</t>
  </si>
  <si>
    <t>Строительство центров питания, подстанций уровнем напряжения 35 кВ и выше (ПС)</t>
  </si>
  <si>
    <t>** все категории потребителей</t>
  </si>
  <si>
    <t>1.3.1.3.1.</t>
  </si>
  <si>
    <t>1.3.1.3.2</t>
  </si>
  <si>
    <t>1.3.1.3.3</t>
  </si>
  <si>
    <t>2.1.2.1.2</t>
  </si>
  <si>
    <t>2.1.2.1.3</t>
  </si>
  <si>
    <t>2.1.2.1.4</t>
  </si>
  <si>
    <t>2.1.2.1.5</t>
  </si>
  <si>
    <t>6 (10)</t>
  </si>
  <si>
    <t>2.1.2.2.3</t>
  </si>
  <si>
    <t>2.1.2.2.4</t>
  </si>
  <si>
    <t>2.6.2.1.1</t>
  </si>
  <si>
    <t>2.6.2.1.2</t>
  </si>
  <si>
    <t>2.6.2.1.3</t>
  </si>
  <si>
    <t>-</t>
  </si>
  <si>
    <t>6/0,4</t>
  </si>
  <si>
    <t>Пропускная способность / Максимальная мощность, кВт</t>
  </si>
  <si>
    <t>Приложение № 5  </t>
  </si>
  <si>
    <t>Расходы на строительство введенных в эксплуатацию объектов электросетевого хозяйства для целей технологического присоединения и для целей реализации иных мероприятий инвестиционной программы территориальной сетевой организации ОАО "Рыбинская городская электросеть"</t>
  </si>
  <si>
    <t>1.3.1.3.1</t>
  </si>
  <si>
    <t>1.3.2.4.1.</t>
  </si>
  <si>
    <t>до 50 квадратных мм включительно</t>
  </si>
  <si>
    <t>6(10)</t>
  </si>
  <si>
    <t>1.j.2.l.4.</t>
  </si>
  <si>
    <t xml:space="preserve"> свыше 100 квадратных мм</t>
  </si>
  <si>
    <t>2.1.2.1.1</t>
  </si>
  <si>
    <t xml:space="preserve"> до 50 квадратных мм включительно</t>
  </si>
  <si>
    <t>2.6.2.2.3.</t>
  </si>
  <si>
    <t>4.1.1.1.5.</t>
  </si>
  <si>
    <t>250 кВа</t>
  </si>
  <si>
    <t>4.1.1.2.4.</t>
  </si>
  <si>
    <t>100 кВА</t>
  </si>
  <si>
    <t>4.1.1.2.5.</t>
  </si>
  <si>
    <t>160 кВА</t>
  </si>
  <si>
    <t>5.1.1.1.2.</t>
  </si>
  <si>
    <t>Строительство РП 6-10 кВ с количеством ячеек до 9 шт.</t>
  </si>
  <si>
    <t>1.3.1.3.2.</t>
  </si>
  <si>
    <t>1.3.1.3.3.</t>
  </si>
  <si>
    <t>2.1.2.2.2</t>
  </si>
  <si>
    <t>2.6.2.1.1.</t>
  </si>
  <si>
    <t>2.6.2.1.3.</t>
  </si>
  <si>
    <t>4.1.1.2.7.</t>
  </si>
  <si>
    <t>400 кВА</t>
  </si>
  <si>
    <t>N п/п</t>
  </si>
  <si>
    <t>Наименование мероприятий</t>
  </si>
  <si>
    <t>Информация для расчета стандартизированной тарифной ставки С1</t>
  </si>
  <si>
    <t>Расходы согласно приложению 3 по каждому мероприятию (руб.)</t>
  </si>
  <si>
    <t>Количество технологических присоединений</t>
  </si>
  <si>
    <t>Объем максимальной мощности (кВт)</t>
  </si>
  <si>
    <t>Расходы на одно присоединение (руб. на одно ТП)</t>
  </si>
  <si>
    <t>(шт.)</t>
  </si>
  <si>
    <t>Подготовка и выдача сетевой организацией технических условий Заявителю (ТУ)</t>
  </si>
  <si>
    <t>Проверка сетевой организацией выполнения Заявителем ТУ</t>
  </si>
  <si>
    <t>Расходы на выполнение мероприятий по технологическому присоединению, предусмотренным подпунктами «а», «в» пункта 16 Методических указаний, за 2015 год</t>
  </si>
  <si>
    <t>Приложение N 3</t>
  </si>
  <si>
    <t>Расчет</t>
  </si>
  <si>
    <t>фактических расходов на выполнение мероприятий</t>
  </si>
  <si>
    <t>по технологическому присоединению, предусмотренных</t>
  </si>
  <si>
    <t>подпунктами "а" и "в" пункта 16 Методических указаний,</t>
  </si>
  <si>
    <t>(выполняется отдельно по мероприятиям, предусмотренным</t>
  </si>
  <si>
    <t>подпунктами "а" и "в" пункта 16 Методических указаний)</t>
  </si>
  <si>
    <t>тыс. руб.</t>
  </si>
  <si>
    <t xml:space="preserve">N п/п  </t>
  </si>
  <si>
    <t>Показатели</t>
  </si>
  <si>
    <t>Данные за предыдущий период регулирования (n-2)</t>
  </si>
  <si>
    <t>Данные за год (n-3), предшествующий предыдущему периоду регулирования</t>
  </si>
  <si>
    <t>Данные за год (n-4), предшествующий году (n-3)</t>
  </si>
  <si>
    <t>1.  Расходы по выполнению мероприятий по технологическому присоединению, всего</t>
  </si>
  <si>
    <t>1.1.</t>
  </si>
  <si>
    <t xml:space="preserve"> Вспомогательные материалы     </t>
  </si>
  <si>
    <t>1.2.</t>
  </si>
  <si>
    <t xml:space="preserve"> Энергия на хозяйственные нужды     </t>
  </si>
  <si>
    <t>1.3.</t>
  </si>
  <si>
    <t xml:space="preserve"> Оплата труда ППП     </t>
  </si>
  <si>
    <t>1.4.</t>
  </si>
  <si>
    <t xml:space="preserve">Отчисления на страховые взносы     </t>
  </si>
  <si>
    <t>1.5.</t>
  </si>
  <si>
    <t xml:space="preserve"> Прочие расходы, всего, в том числе:     </t>
  </si>
  <si>
    <t>1.5.1.</t>
  </si>
  <si>
    <t xml:space="preserve"> - работы и услуги производственного характера</t>
  </si>
  <si>
    <t>1.5.2.</t>
  </si>
  <si>
    <t xml:space="preserve">  - налоги и сборы, уменьшающие налогооблагаемую базу на прибыль организаций, всего</t>
  </si>
  <si>
    <t>1.5.3.</t>
  </si>
  <si>
    <t xml:space="preserve">  - работы и услуги непроизводственного характера, в том числе:</t>
  </si>
  <si>
    <t>1.5.3.1.</t>
  </si>
  <si>
    <t xml:space="preserve">услуги связи     </t>
  </si>
  <si>
    <t>1.5.3.2.</t>
  </si>
  <si>
    <t xml:space="preserve">  расходы на охрану и пожарную безопасность</t>
  </si>
  <si>
    <t>1.5.3.3.</t>
  </si>
  <si>
    <t xml:space="preserve"> расходы на информационное обслуживание, иные услуги, связанные с деятельностью по технологическому присоединению</t>
  </si>
  <si>
    <t>1.5.3.4.</t>
  </si>
  <si>
    <t xml:space="preserve"> плата за аренду имущества     </t>
  </si>
  <si>
    <t>1.5.3.5.</t>
  </si>
  <si>
    <t xml:space="preserve"> другие прочие расходы, связанные с производством и реализацией</t>
  </si>
  <si>
    <t>1.6</t>
  </si>
  <si>
    <t xml:space="preserve">Внереализационные расходы, всего       </t>
  </si>
  <si>
    <t>1.6.1.</t>
  </si>
  <si>
    <t xml:space="preserve"> - расходы на услуги банков     </t>
  </si>
  <si>
    <t>1.6.2.</t>
  </si>
  <si>
    <t xml:space="preserve"> - % за пользование кредитом     </t>
  </si>
  <si>
    <t>1.6.3.</t>
  </si>
  <si>
    <t xml:space="preserve"> - прочие обоснованные расходы     </t>
  </si>
  <si>
    <t>1.6.4.</t>
  </si>
  <si>
    <t xml:space="preserve"> - денежные выплаты социального характера (по Коллективному договору)</t>
  </si>
  <si>
    <t>Фактические действия по присоединению и обеспечению работы Устройств в электрической сети</t>
  </si>
  <si>
    <t>Справочно</t>
  </si>
  <si>
    <t>Приложение N 2</t>
  </si>
  <si>
    <t>630 кВА</t>
  </si>
  <si>
    <t>Расходы на выполнение мероприятий по технологическому присоединению, предусмотренным подпунктами «а», «в» пункта 16 Методических указаний, за 2017 год</t>
  </si>
  <si>
    <t>Сетевая организация № 1</t>
  </si>
  <si>
    <t>Приложение N 4</t>
  </si>
  <si>
    <t>Результаты</t>
  </si>
  <si>
    <t>расчета экономически обоснованных расходов на выполнение</t>
  </si>
  <si>
    <t>мероприятий по технологическому присоединению,</t>
  </si>
  <si>
    <t>предусмотренных подпунктами "а" и "в" пункта 16</t>
  </si>
  <si>
    <t>Методических указаний</t>
  </si>
  <si>
    <t>1. Подготовка и выдача сетевой организацией технических условий Заявителю</t>
  </si>
  <si>
    <t>Данные за предыдущий период регулирования (2015)</t>
  </si>
  <si>
    <t>Данные за предыдущий период регулирования (2016)</t>
  </si>
  <si>
    <t>Данные за предыдущий период регулирования (2014)</t>
  </si>
  <si>
    <t>2. Проверка сетевой организацией выполнения Заявителем ТУ</t>
  </si>
  <si>
    <t>Расходы на выполнение мероприятий по технологическому присоединению, предусмотренным подпунктами «а», «в» пункта 16 Методических указаний, за 2018 год</t>
  </si>
  <si>
    <t>Данные за предыдущий период регулирования (2017)</t>
  </si>
  <si>
    <t>Данные за предыдущий период регулирования (2018)</t>
  </si>
  <si>
    <t>3. Участие в осмотре (обследовании) должностным лицом органа ФГЭН присоединяемых устройств</t>
  </si>
  <si>
    <t>4. Осуществление сетевой организацией фактического присоединения</t>
  </si>
  <si>
    <t>ОАО "РЫБИНСКАЯ ГОРОДСКАЯ ЭЛЕКТРОСЕТЬ"</t>
  </si>
  <si>
    <t>Выводимые данные:</t>
  </si>
  <si>
    <t>БУ (данные бухгалтерского учета)</t>
  </si>
  <si>
    <t>Отбор:</t>
  </si>
  <si>
    <t>Номенклатурные группы Равно "Технологическое присоединение "</t>
  </si>
  <si>
    <t>Счет</t>
  </si>
  <si>
    <t>Сальдо на начало периода</t>
  </si>
  <si>
    <t>Обороты за период</t>
  </si>
  <si>
    <t>Сальдо на конец периода</t>
  </si>
  <si>
    <t>Статьи затрат</t>
  </si>
  <si>
    <t>Дебет</t>
  </si>
  <si>
    <t>Кредит</t>
  </si>
  <si>
    <t>&lt;...&gt;</t>
  </si>
  <si>
    <t xml:space="preserve">Амортизация </t>
  </si>
  <si>
    <t>вывоз и утилизация ТБО</t>
  </si>
  <si>
    <t>информационные услуги</t>
  </si>
  <si>
    <t>канцтовары</t>
  </si>
  <si>
    <t>медосмотры</t>
  </si>
  <si>
    <t xml:space="preserve">обеспечение пожарной безопасности </t>
  </si>
  <si>
    <t>обслуживание оргтехники и программного обеспечения</t>
  </si>
  <si>
    <t>обучение персонала</t>
  </si>
  <si>
    <t>Оплата труда</t>
  </si>
  <si>
    <t>Платежи за негативное воздействия на окружающую среду</t>
  </si>
  <si>
    <t>почтовые услуги</t>
  </si>
  <si>
    <t>проездные</t>
  </si>
  <si>
    <t>проектные и кадастровые работы</t>
  </si>
  <si>
    <t>Расходы на получение разрешений, свидетельств, справок (гос.органы)</t>
  </si>
  <si>
    <t>реклама</t>
  </si>
  <si>
    <t>ремонт зданий, помещений</t>
  </si>
  <si>
    <t>ремонт и ТО автотранспорта</t>
  </si>
  <si>
    <t>ремонт и ТО производстенного и хозяйственного оборудования, инвентаря</t>
  </si>
  <si>
    <t>Спецодежда и спецоснастка</t>
  </si>
  <si>
    <t>стирка и химчистка</t>
  </si>
  <si>
    <t>страхование ответсвенности, имущества</t>
  </si>
  <si>
    <t>Страховые взносы</t>
  </si>
  <si>
    <t>Сырье и материалы</t>
  </si>
  <si>
    <t>Сырье и материалы на текущее содержание</t>
  </si>
  <si>
    <t>Сырье и материалы на текущий ремонт</t>
  </si>
  <si>
    <t>Топливо и ГСМ для работы автотранспорта</t>
  </si>
  <si>
    <t>хозинвентарь и моющие принадлежности</t>
  </si>
  <si>
    <t>электроэнергия, теплоэнергия, вода для собственных нужд</t>
  </si>
  <si>
    <t>юридические услуги (адвоката, нотариуса)</t>
  </si>
  <si>
    <t>Итого</t>
  </si>
  <si>
    <t>руб.</t>
  </si>
  <si>
    <t>СПРАВОЧНО</t>
  </si>
  <si>
    <t>Наименование ОС</t>
  </si>
  <si>
    <t>Номер договора</t>
  </si>
  <si>
    <t>Контрагент/ФЛ</t>
  </si>
  <si>
    <t>инв.номер ОС</t>
  </si>
  <si>
    <t>сумма договора</t>
  </si>
  <si>
    <t>Оплачено</t>
  </si>
  <si>
    <t>Расходы</t>
  </si>
  <si>
    <t>Разница</t>
  </si>
  <si>
    <t>Расход кабеля, СИП</t>
  </si>
  <si>
    <t>Комментарий</t>
  </si>
  <si>
    <t>ИТОГО</t>
  </si>
  <si>
    <t>Материалы</t>
  </si>
  <si>
    <t>ЗП</t>
  </si>
  <si>
    <t xml:space="preserve">отчисления </t>
  </si>
  <si>
    <t>ГСМ</t>
  </si>
  <si>
    <t>км</t>
  </si>
  <si>
    <t>Марка кабеля, СИП</t>
  </si>
  <si>
    <t>провод СИП-2 3х35+1х54,6</t>
  </si>
  <si>
    <t>Хватов А.С.</t>
  </si>
  <si>
    <t>кабель АВБШв 4х240</t>
  </si>
  <si>
    <t>КТП-119 ул.Тарасова-Шуйская - ВЛ-0,4кВ</t>
  </si>
  <si>
    <t>провод СИП-2 3х70+1х70</t>
  </si>
  <si>
    <t>кабель АВБШв 4*120</t>
  </si>
  <si>
    <t>кабель АВБШв 4х70</t>
  </si>
  <si>
    <t>МБУ УГХ</t>
  </si>
  <si>
    <t>ООО "Транс-Сервис"</t>
  </si>
  <si>
    <t>Садовская Н.А.</t>
  </si>
  <si>
    <t>МДОУ ДС №29</t>
  </si>
  <si>
    <t>Кабельная линия КЛ-6кВ от РП-26 до ул.Логиновская,10</t>
  </si>
  <si>
    <t>кабель ААБл 10 3х120</t>
  </si>
  <si>
    <t>Кабельная линия КЛ-0,4кВ от ТП-6 до ул.В.Набережная,77</t>
  </si>
  <si>
    <t>2.1.1.2.4</t>
  </si>
  <si>
    <t>2.1.1.2.3</t>
  </si>
  <si>
    <t>2.1.1.2.2</t>
  </si>
  <si>
    <t>2.6.1.2.3.</t>
  </si>
  <si>
    <t>2.6.1.2.4.</t>
  </si>
  <si>
    <t>2.6.1.2.2</t>
  </si>
  <si>
    <t>2.6.1.2.3</t>
  </si>
  <si>
    <t>Данные за предыдущий период регулирования (2019)</t>
  </si>
  <si>
    <t>Оборотно-сальдовая ведомость по счету 20.01 за 2019 г.</t>
  </si>
  <si>
    <t>20.01</t>
  </si>
  <si>
    <t>автотранспортные услуги (строительство)</t>
  </si>
  <si>
    <t>аудиторские услуги</t>
  </si>
  <si>
    <t>дератизация</t>
  </si>
  <si>
    <t>доставка грузов</t>
  </si>
  <si>
    <t xml:space="preserve">запчасти и материалы для автотанспорта </t>
  </si>
  <si>
    <t>инструмент и оборудование производственные</t>
  </si>
  <si>
    <t>консультационные услуги</t>
  </si>
  <si>
    <t>Лицензирование, сертификация, СРО</t>
  </si>
  <si>
    <t>мебель</t>
  </si>
  <si>
    <t>медицинские принадлежности</t>
  </si>
  <si>
    <t>Налог на землю</t>
  </si>
  <si>
    <t>Налог на имущество организации</t>
  </si>
  <si>
    <t>Налог на транспорт</t>
  </si>
  <si>
    <t>оргтехника</t>
  </si>
  <si>
    <t>подбор персонала</t>
  </si>
  <si>
    <t>размещение информации (раскрытие в СМИ)</t>
  </si>
  <si>
    <t>связь</t>
  </si>
  <si>
    <t xml:space="preserve">спецоценка </t>
  </si>
  <si>
    <t>услуги операторов электронных площадок</t>
  </si>
  <si>
    <t>за 2019 год</t>
  </si>
  <si>
    <t>до 15 кВт</t>
  </si>
  <si>
    <t>от 15 до 150кВт</t>
  </si>
  <si>
    <t>Воздушная линия ВЛ-0,4кВ ТП-81  ул.Гвоздильная (1400939)</t>
  </si>
  <si>
    <t>Поляков А.В.</t>
  </si>
  <si>
    <t>СИП-2 3х25+1х54,6+1х16</t>
  </si>
  <si>
    <t>ТП-54 ул.Крестьянская - ВЛ-0,4 кв (1400785)</t>
  </si>
  <si>
    <t>Ищенко З.В.</t>
  </si>
  <si>
    <t>АО Ярославский броллер</t>
  </si>
  <si>
    <t>ГАУК ЯО Рыбинский музей заповедник</t>
  </si>
  <si>
    <t xml:space="preserve">Кабельная линия КЛ-6кВ выход с КТП-189 на ВЛ-6кВ </t>
  </si>
  <si>
    <t>кабель ААБл 10 3х70</t>
  </si>
  <si>
    <t>Кабельная линия КЛ-0,4кВ выходы с КТП-189 на ВЛ-0,4кВ</t>
  </si>
  <si>
    <t>кабель АВБШа 4х240</t>
  </si>
  <si>
    <t>Силовой трансформатор на КТП-189</t>
  </si>
  <si>
    <t>Воздушная линия ВЛ-0,4кВ МТП-167 ул.Макаренко</t>
  </si>
  <si>
    <t>Сухова Н.В.</t>
  </si>
  <si>
    <t>Силовой трансформатор ТМГ 630/6/0,4 Д/У зав.№12281 (7000572)</t>
  </si>
  <si>
    <t>Силовой трансформатор ТМГ 630/6/0,4 Д/У зав.№12511 (7000573)</t>
  </si>
  <si>
    <t>КТП-119 ул.Тарасова-Шуйская - ВЛ-0,4кВ (1400684)</t>
  </si>
  <si>
    <t>Калинич А.С.</t>
  </si>
  <si>
    <t>Скваж Г.Г.</t>
  </si>
  <si>
    <t>провод СИП -4 4*16</t>
  </si>
  <si>
    <t>КТП-53 ул.Комсомольская - ВЛ-0,4 кв (1400784)</t>
  </si>
  <si>
    <t>Юдина И.Н.</t>
  </si>
  <si>
    <t>провод СИП -4 2*16</t>
  </si>
  <si>
    <t>Воздушная линия ВЛ-0,4кВ ТП-189 д.Селишки</t>
  </si>
  <si>
    <t>Кабельная линия КЛ-0,4кВ от ТП-37 до ул.Пушкина,24</t>
  </si>
  <si>
    <t>ООО "Бигам-Инвест"</t>
  </si>
  <si>
    <t>Воздушная линия ВЛ-0,4кВ МТП-167 ул.Макаренко  (1400139)</t>
  </si>
  <si>
    <t>провод СИП-2 3х50+1х54,6</t>
  </si>
  <si>
    <t>Воздушная линия ВЛ-0,4кВ ТП-141 ул.Садовая</t>
  </si>
  <si>
    <t>Монин П.В.</t>
  </si>
  <si>
    <t>провод СИП-2 3х95+1х95</t>
  </si>
  <si>
    <t>ТП-86 ул.Белинского - ВЛ-0,4 кв</t>
  </si>
  <si>
    <t>Романов Е.В.</t>
  </si>
  <si>
    <t>Назаров А.В.</t>
  </si>
  <si>
    <t>ТП-135 Северный пр -  КЛ-0,4кВ</t>
  </si>
  <si>
    <t>Кабельная линия КЛ-0,4кВ ТП-78 до ул.Чкалова,52</t>
  </si>
  <si>
    <t>ООО СБИС ЭО</t>
  </si>
  <si>
    <t>кабель АВБбШВ 4х185</t>
  </si>
  <si>
    <t>Кабельная линия КЛ-6Кв ТП-187 до врезки ВКЛ-6кВ ТП 88-ТП 85</t>
  </si>
  <si>
    <t>Остеомед</t>
  </si>
  <si>
    <t>Силовой трансформатор ТМГ 400/6/0,4 зав.номер 1812ЖГ782</t>
  </si>
  <si>
    <t>Фоломеев М.В.</t>
  </si>
  <si>
    <t xml:space="preserve">Силовой трансформатор ТМГ 630/6/0,4 зав.номер 1811УГ894 </t>
  </si>
  <si>
    <t>Краснов Г.А.</t>
  </si>
  <si>
    <t xml:space="preserve">Силовой трансформатор ТМГ 400/6/0,4 Д/Ун-11 зав.номер 12867 </t>
  </si>
  <si>
    <t>Щербаков М.А.</t>
  </si>
  <si>
    <t>Кабельная линия КЛ-0,4кВ ТП-181 до опоры ул.Арефинский тракт,8</t>
  </si>
  <si>
    <t>Кабельная линия КЛ-0,4кВ ТП-411 до опоры ВЛ-0,4кВ ул.Садовая</t>
  </si>
  <si>
    <t>кабель АВБШв 4*95</t>
  </si>
  <si>
    <t>Ковалев М.Ю.</t>
  </si>
  <si>
    <t>0,241      0,080</t>
  </si>
  <si>
    <t>провод СИП-2 3х50+1х54,6      провод СИП-2 3х70+1х70</t>
  </si>
  <si>
    <t>Воздушная линия ВЛ-0,4кВ от КТП-181 до ул.Арефинский тракт,8</t>
  </si>
  <si>
    <t xml:space="preserve">КТП-53 ул.Комсомольская - ВЛ-0,4 кв </t>
  </si>
  <si>
    <t>Смирнова Н.А.</t>
  </si>
  <si>
    <t>ТП-343 пр.Серова - ВЛ-0,4 кв</t>
  </si>
  <si>
    <t>Лебедева А.А.</t>
  </si>
  <si>
    <t>Шитиков А.А.</t>
  </si>
  <si>
    <t>0,100               0,025</t>
  </si>
  <si>
    <t>провод СИП-2 3х50+1х54,6      провод СИП-2 3х50+1х70</t>
  </si>
  <si>
    <t>Воздушная линия ВЛ-6,0кВ выход с ТП-180 на КЛ-6,0кВ в ст.ТП-Усадебная</t>
  </si>
  <si>
    <t>Иванова В.С.</t>
  </si>
  <si>
    <t>провод СИП-3 1х70</t>
  </si>
  <si>
    <t>Пугачева К.А.</t>
  </si>
  <si>
    <t>Кабельная линия КЛ-96кВ ТП-180 до ТП-Усадебная</t>
  </si>
  <si>
    <t>Кабельная линия КЛ-0,4кВ ТП-160 до ул.Инженерная,23а</t>
  </si>
  <si>
    <t>МОУ СОШ №15</t>
  </si>
  <si>
    <t>ТП-61 ул.Гагарина - ВЛ-0,4 кв (1400791)</t>
  </si>
  <si>
    <t>МБУ Специализированная служба по вопросам похоронного дела"</t>
  </si>
  <si>
    <t>Воздушная линия ВЛ-0,4кВ КТП-129 ул.Пестеля-Волкова  (1400113)</t>
  </si>
  <si>
    <t>Севастьянов С.Ю.</t>
  </si>
  <si>
    <t>Воздушная линия ВЛ-0,4кВ ТП-Усадебная</t>
  </si>
  <si>
    <t xml:space="preserve">Оборудование  ТП-311 ул.Б.Рукавицына (8000272) </t>
  </si>
  <si>
    <t>Захаров А.В.</t>
  </si>
  <si>
    <t xml:space="preserve">Трансформатор ТМГ 400/6/0,4 зав.ном.1903ЖГ3308 </t>
  </si>
  <si>
    <t>Трансформатор ТМГ 400/6/0,4кВа зав.ном.13.03.ЖГ.193</t>
  </si>
  <si>
    <t>ТПФ Переславль</t>
  </si>
  <si>
    <t>ТП-87  ул.Ошурковская - ВЛ-0,4 кв (1400801)</t>
  </si>
  <si>
    <t>Михайлов С.В.</t>
  </si>
  <si>
    <t>Кабельная линия КЛ-6кВ ТП-8 до ТП-9</t>
  </si>
  <si>
    <t>ТрансСервис</t>
  </si>
  <si>
    <t>Кабельная линия КЛ-0,4кВ ТП-87 до ул.Ошурковская,18</t>
  </si>
  <si>
    <t>КТП-190 Усадебная</t>
  </si>
  <si>
    <t xml:space="preserve">Трансформатор ТМГ11-400/6/0,4кВа </t>
  </si>
  <si>
    <t>ТП-112 ул.Садовских - ВЛ-0,4кВ (1400812)</t>
  </si>
  <si>
    <t>ул.Канатная,5</t>
  </si>
  <si>
    <t>ТП-82 ул.Луговая - ВЛ- 0,4кв (1400797)</t>
  </si>
  <si>
    <t>ул.Б.Новикова (автостоянка)</t>
  </si>
  <si>
    <t>ул.Шекснинская,97</t>
  </si>
  <si>
    <t>КТП-150 - ул.Связи - ВЛ-0,4 кв (1400130)</t>
  </si>
  <si>
    <t>ул.Силовая,13</t>
  </si>
  <si>
    <t>КЛ-0,4кВ ТП-13 до ул.В.Набережная,129</t>
  </si>
  <si>
    <t>ООО "Жилстрой-1"</t>
  </si>
  <si>
    <t>КЛ-0,4кВ ТП-311 до ул.Змановская,6а</t>
  </si>
  <si>
    <t>РП-20 ул.Рапова  до ТП-370 ул.Молодежная (1300355)</t>
  </si>
  <si>
    <t>ООО "Формула"</t>
  </si>
  <si>
    <t>кабель ААБл 10 3х150</t>
  </si>
  <si>
    <t>КЛ-0,4кВ ТП-474 до ул.Юбилейная,3</t>
  </si>
  <si>
    <t>ООО "ПП Полимерпласт"</t>
  </si>
  <si>
    <t>кабель АВБбШВ 4х240</t>
  </si>
  <si>
    <t>Оборудование КТП-390</t>
  </si>
  <si>
    <t>ООО Формула 1</t>
  </si>
  <si>
    <t>Трансформатор ТМГ 400/6/0,4 У/У зав.ном.1907ТГ431</t>
  </si>
  <si>
    <t>ВЛ-0,4кВ ТП-190 Усадебная</t>
  </si>
  <si>
    <t>Эл.система учета эл.энергии Меркурий на ТП-9 (высоковольтный-секция Т.1 и Т.2)</t>
  </si>
  <si>
    <t>Трансформатор ТМГ400/6/0,4 У/Ун-0 УХЛ 1 зав.ном.95594 ТП-87</t>
  </si>
  <si>
    <t>Кабельная линия КЛ-6,0кв между ТП-480 и ТП-478;  ул.Генерала Батова    (1300520)</t>
  </si>
  <si>
    <t>КЛ-0,4кВ от ТП-390 до пр.Ленина,173</t>
  </si>
  <si>
    <t>ООО "КупецЪ"</t>
  </si>
  <si>
    <t>ТП-115 ул.Костромская - ВЛ-0,4кВ (1400815)</t>
  </si>
  <si>
    <t>МБУ "УГХ"</t>
  </si>
  <si>
    <t>КЛ-0,4 кВ ТП-47 до ул.Фурманова,18</t>
  </si>
  <si>
    <t>Балаев Р.О.</t>
  </si>
  <si>
    <t>ТП-345 ул.Осипенко - ВЛ-0,4 кв (1400231)</t>
  </si>
  <si>
    <t>Шпагин А.В.</t>
  </si>
  <si>
    <t>Медведева Л.М.</t>
  </si>
  <si>
    <t>ТП-474 ул.Юбилейная - ВЛ-0,4 кв (1400844)</t>
  </si>
  <si>
    <t>Усачева В.П.</t>
  </si>
  <si>
    <t>Силовой трансформатор ТМГ21 630/10/0,4 У/Ун-0 У1 (7000591)</t>
  </si>
  <si>
    <t>Кабельная линия КЛ-0,4кВ Тп-128 до ул.Волкова,15</t>
  </si>
  <si>
    <t>Беляков С.М.</t>
  </si>
  <si>
    <t>Силовой трансформатор ТМГ21 630/10/0,4 У/Ун-0 У1 зав.№1964000 (7000592)</t>
  </si>
  <si>
    <t>ООО ПП "Полимерпласт"</t>
  </si>
  <si>
    <t>Силовой трансформатор ТМГ 400/6/0,4 У/Ун-0 У1 зав.№98393 (7000593)</t>
  </si>
  <si>
    <t>ООО "Транс-Экспедиция"</t>
  </si>
  <si>
    <t>Силовой трансформатор ТМГ 630/6/0,4 У/Ун-0 У1 зав.№97366 (7000594)</t>
  </si>
  <si>
    <t>Зорина Т.Д.</t>
  </si>
  <si>
    <t>Васильев Д.А.</t>
  </si>
  <si>
    <t>Воздушная линия ВЛ-0,4кВ ТП-188 Ярославский тракт,152</t>
  </si>
  <si>
    <t>себестоимость работ по договорам техприсоединения</t>
  </si>
  <si>
    <t>месяц выполнения работ</t>
  </si>
  <si>
    <t>Наименование контрагента</t>
  </si>
  <si>
    <t xml:space="preserve">Адрес </t>
  </si>
  <si>
    <t>Сумма договора</t>
  </si>
  <si>
    <t>Оплачено дату отчета</t>
  </si>
  <si>
    <t>отчисления</t>
  </si>
  <si>
    <t>Общепроиз.расходы (без ГСМ)</t>
  </si>
  <si>
    <t>Общехоз.расходы</t>
  </si>
  <si>
    <t>ул.Коллективизации,46</t>
  </si>
  <si>
    <t>ул.Ворошилова,в районе СОШ №27</t>
  </si>
  <si>
    <t>ул.Гагарина,в районе СОШ №44</t>
  </si>
  <si>
    <t xml:space="preserve">Кравцов К.Е. </t>
  </si>
  <si>
    <t>ул.Полтининская,15</t>
  </si>
  <si>
    <t>ул.Никольская,66</t>
  </si>
  <si>
    <t>Косихин А.В.</t>
  </si>
  <si>
    <t>ул.Мологская,2Б</t>
  </si>
  <si>
    <t>Костелецкий В.А.</t>
  </si>
  <si>
    <t>ул.Ошурковская,8</t>
  </si>
  <si>
    <t>Ефремов С.В.</t>
  </si>
  <si>
    <t>ул.Малиновского,22</t>
  </si>
  <si>
    <t>Кулаков В.А.</t>
  </si>
  <si>
    <t>ул.Перекатная 2-й проезд</t>
  </si>
  <si>
    <t>Новиков Е.В.</t>
  </si>
  <si>
    <t>ул.Введенская,6</t>
  </si>
  <si>
    <t>ул.Инженерная,в районе СОШ№36</t>
  </si>
  <si>
    <t>Итого за январь</t>
  </si>
  <si>
    <t>ул.Приборостроителей,18</t>
  </si>
  <si>
    <t>Управление строительства Администрации ГО</t>
  </si>
  <si>
    <t>ул.Транкторная,12</t>
  </si>
  <si>
    <t>итого за февраль</t>
  </si>
  <si>
    <t>Виноградов А.С.</t>
  </si>
  <si>
    <t>ул.я Таговщинская,16в</t>
  </si>
  <si>
    <t>Шабанова Л.С.</t>
  </si>
  <si>
    <t>ул.Никольская,4</t>
  </si>
  <si>
    <t>итого за март</t>
  </si>
  <si>
    <t>итого за 1 квартал</t>
  </si>
  <si>
    <t>Пономарев А.Н.</t>
  </si>
  <si>
    <t>ул.Урожайная,8</t>
  </si>
  <si>
    <t>Горелова О.М.</t>
  </si>
  <si>
    <t>ул.Александровская,7а</t>
  </si>
  <si>
    <t>Подавалкин А.А.</t>
  </si>
  <si>
    <t>ул.Заречная,19в</t>
  </si>
  <si>
    <t>Рыженков А.В.</t>
  </si>
  <si>
    <t>ул.Фасадная,90</t>
  </si>
  <si>
    <t>ул.Красносельская,9</t>
  </si>
  <si>
    <t>итого за апрель</t>
  </si>
  <si>
    <t>Каликов Г.М.</t>
  </si>
  <si>
    <t>ул.Ломоносова,46</t>
  </si>
  <si>
    <t>Баранникова И.О.</t>
  </si>
  <si>
    <t>ул.Луначарского,22</t>
  </si>
  <si>
    <t>Заварин М.С.</t>
  </si>
  <si>
    <t>ул.1-я Тарнопольская</t>
  </si>
  <si>
    <t>Крылов В.А.</t>
  </si>
  <si>
    <t>ул.П.Морозова,10</t>
  </si>
  <si>
    <t>Волкова Л.Д.</t>
  </si>
  <si>
    <t>ул.1-я Мягкая,10</t>
  </si>
  <si>
    <t>Итого за май</t>
  </si>
  <si>
    <t>Манин А.В.</t>
  </si>
  <si>
    <t>пр.Г.Батова,17а</t>
  </si>
  <si>
    <t>Пичугина А.Г.</t>
  </si>
  <si>
    <t>Новожилов А.Е.</t>
  </si>
  <si>
    <t>ул.Социалистическая,24</t>
  </si>
  <si>
    <t>Максимов Д.В.</t>
  </si>
  <si>
    <t>ул.Малиновского,50</t>
  </si>
  <si>
    <t>Белянкина Е.А.</t>
  </si>
  <si>
    <t>ул.Карпунинская,7</t>
  </si>
  <si>
    <t>ИПФ Монолит</t>
  </si>
  <si>
    <t>ул.Труда,96</t>
  </si>
  <si>
    <t>Ильяхова О.Е.</t>
  </si>
  <si>
    <t>ул.Заречная,56</t>
  </si>
  <si>
    <t>Соловьева Н.В.</t>
  </si>
  <si>
    <t>ул.Заречная,36б</t>
  </si>
  <si>
    <t>Сухачев Д.С.</t>
  </si>
  <si>
    <t>ул.Герцена,5</t>
  </si>
  <si>
    <t>ПАО Мобильные ТелеСистемы</t>
  </si>
  <si>
    <t>ул.Нансена,2</t>
  </si>
  <si>
    <t>итого за июнь</t>
  </si>
  <si>
    <t>итого за 1-е полугодие</t>
  </si>
  <si>
    <t>Ярцев К.В.</t>
  </si>
  <si>
    <t>ул.Карякинская,15а</t>
  </si>
  <si>
    <t>Рыбинскгазсервис</t>
  </si>
  <si>
    <t>ул.расплетина,26</t>
  </si>
  <si>
    <t>Литов М.А.</t>
  </si>
  <si>
    <t>ул.Победы,25</t>
  </si>
  <si>
    <t>Буханова К.Н.</t>
  </si>
  <si>
    <t>ул.Наволоки,7</t>
  </si>
  <si>
    <t>Зернова А.А.</t>
  </si>
  <si>
    <t>ул.Высоковольтная,27</t>
  </si>
  <si>
    <t>Романова М.И.</t>
  </si>
  <si>
    <t>ул.Шекснинская,27</t>
  </si>
  <si>
    <t>д.Селишки,70</t>
  </si>
  <si>
    <t>Антонов Д.В.</t>
  </si>
  <si>
    <t>ул.Майский переулок,5а</t>
  </si>
  <si>
    <t>Захарова Е.В.</t>
  </si>
  <si>
    <t>ул.Садовая,15</t>
  </si>
  <si>
    <t>Парфенов Д.А.</t>
  </si>
  <si>
    <t>ул.Садовая,12</t>
  </si>
  <si>
    <t>Костромова Л.В.</t>
  </si>
  <si>
    <t>ул.Кимовская,33</t>
  </si>
  <si>
    <t>ИП Роздухов М.Е.</t>
  </si>
  <si>
    <t>ул.Фурманова,4</t>
  </si>
  <si>
    <t>Баранов М.С.</t>
  </si>
  <si>
    <t>ул.Заречная,28б</t>
  </si>
  <si>
    <t>ул.Огарева,30</t>
  </si>
  <si>
    <t>Верич Н.В.</t>
  </si>
  <si>
    <t>ул.Садовая,1</t>
  </si>
  <si>
    <t>Карасев И.В.</t>
  </si>
  <si>
    <t>ул.Турбинная,16</t>
  </si>
  <si>
    <t>ООО "Стройсервис"</t>
  </si>
  <si>
    <t>ул.Ломоносова,27</t>
  </si>
  <si>
    <t>ул.1-я Тарнопольская,17</t>
  </si>
  <si>
    <t>Сергеева Е.О.</t>
  </si>
  <si>
    <t>ул.Башаровская,63</t>
  </si>
  <si>
    <t>Конев А.Ю.</t>
  </si>
  <si>
    <t>ул.Милюшинская,41</t>
  </si>
  <si>
    <t>Глазачев А.В.</t>
  </si>
  <si>
    <t>ул.Переселенческая,57</t>
  </si>
  <si>
    <t>Моос И.Е</t>
  </si>
  <si>
    <t>ул.Балабановская,3</t>
  </si>
  <si>
    <t>пр.Революции,32 (свет.объект)</t>
  </si>
  <si>
    <t>ул.Ошурковская,18</t>
  </si>
  <si>
    <t>ул.Змановская,6</t>
  </si>
  <si>
    <t>Зверева С.В.</t>
  </si>
  <si>
    <t>ул.Ермаковская,23</t>
  </si>
  <si>
    <t>Хазова Ю.В.</t>
  </si>
  <si>
    <t>ул.Тарасова,99</t>
  </si>
  <si>
    <t>Соколов О.В.</t>
  </si>
  <si>
    <t>ул.Переборская,5</t>
  </si>
  <si>
    <t>Крыжановская Е.Ю.</t>
  </si>
  <si>
    <t>ул.Гражданская,27</t>
  </si>
  <si>
    <t>Итого 9 месяцев</t>
  </si>
  <si>
    <t>ООО ПП Полимерпласт</t>
  </si>
  <si>
    <t>ул.Юбилейная,3</t>
  </si>
  <si>
    <t>ул.В.Набережная,129</t>
  </si>
  <si>
    <t>ул.9 Мая,5 (свет.объект)</t>
  </si>
  <si>
    <t>0,02                          0,180</t>
  </si>
  <si>
    <t>кабел АВБШв 4х16                     провод СИП -4 2*16</t>
  </si>
  <si>
    <t>ул.9 Мая,17 (свет.объект)</t>
  </si>
  <si>
    <t>Пальченкова Ю.Н.</t>
  </si>
  <si>
    <t>ул.Осипенко,23</t>
  </si>
  <si>
    <t>Теленков В.Н.</t>
  </si>
  <si>
    <t>ул.Книжная,10</t>
  </si>
  <si>
    <t>Воронов А.Ю.</t>
  </si>
  <si>
    <t>ул.Макаровская,13</t>
  </si>
  <si>
    <t>Лешина Т.В.</t>
  </si>
  <si>
    <t>ул.Садовая,4</t>
  </si>
  <si>
    <t>Виноградов А.Н.</t>
  </si>
  <si>
    <t>ул.Садовских,20</t>
  </si>
  <si>
    <t>Фролов В.Н.</t>
  </si>
  <si>
    <t>ул.Кимовская,14</t>
  </si>
  <si>
    <t>Храмцова В.Н.</t>
  </si>
  <si>
    <t>ул.Шекснинская,93</t>
  </si>
  <si>
    <t>Румянцева Л.А.</t>
  </si>
  <si>
    <t>Родниковый пер.,5</t>
  </si>
  <si>
    <t>Милорадова М.Ф.</t>
  </si>
  <si>
    <t>ул.Коллективизации,24</t>
  </si>
  <si>
    <t>Бабаян А.Л.</t>
  </si>
  <si>
    <t>ул.М.Горького</t>
  </si>
  <si>
    <t>Кулакова Л.И.</t>
  </si>
  <si>
    <t>ул.Ак.Павлова,22</t>
  </si>
  <si>
    <t>ул.В.набережная, в районе с ул.Пушкина (свет.объект)</t>
  </si>
  <si>
    <t>ул.В.набережная, в районе с ул.Румянцевская (свет.объект)</t>
  </si>
  <si>
    <t>ул.Чкалова, в районе с ул.Румянцевская (свет.объект)</t>
  </si>
  <si>
    <t>ул.Крестовая, в районе с ул.Румянцевская (свет.объект)</t>
  </si>
  <si>
    <t>ул.Чкалова, в районе с ул.Луначарского (свет.объект)</t>
  </si>
  <si>
    <t>Шухалова Ю.В.</t>
  </si>
  <si>
    <t>ул.Заречная,20а</t>
  </si>
  <si>
    <t>ул.Заречная</t>
  </si>
  <si>
    <t>ул.Толбухина,12а</t>
  </si>
  <si>
    <t>Красилов В.Г.</t>
  </si>
  <si>
    <t>ул.Сакко и Ванцетти,20</t>
  </si>
  <si>
    <t>ООО "Лидер"</t>
  </si>
  <si>
    <t>ул.Суркова,28</t>
  </si>
  <si>
    <t>Чистякова Н.Ю.</t>
  </si>
  <si>
    <t>ул.Малаховская,60</t>
  </si>
  <si>
    <t>МБУ "Специал.служба по вопросам похоронного дела"</t>
  </si>
  <si>
    <t>ул.Софийская,4б</t>
  </si>
  <si>
    <t>Итого за год</t>
  </si>
  <si>
    <t>Расходы на выполнение мероприятий по технологическому присоединению, предусмотренным подпунктами «а», «в» пункта 16 Методических указаний, за 2019 год</t>
  </si>
  <si>
    <t>262 исполненных договора за 2019 год, из них</t>
  </si>
  <si>
    <t>до 15кВт</t>
  </si>
  <si>
    <t>до 150кВт</t>
  </si>
  <si>
    <t>свыше 150кВт</t>
  </si>
  <si>
    <t>Аабл 3*95</t>
  </si>
  <si>
    <t>АВБШв 4*50</t>
  </si>
  <si>
    <t>СИП-1 3*70</t>
  </si>
  <si>
    <t xml:space="preserve">СИП  4*95 </t>
  </si>
  <si>
    <t>АВБШв 4*70</t>
  </si>
  <si>
    <t>1*400</t>
  </si>
  <si>
    <t>СИП 4*50</t>
  </si>
  <si>
    <t>СИП 4*70</t>
  </si>
  <si>
    <t>СИП 4*16</t>
  </si>
  <si>
    <t>СИП 4*50 и СИП 4*70</t>
  </si>
  <si>
    <t>2*400</t>
  </si>
  <si>
    <t>СИП  2*16</t>
  </si>
  <si>
    <t>кабель 4*120 АВБШв-30м</t>
  </si>
  <si>
    <t>СИП 4*95</t>
  </si>
  <si>
    <t>СИП  4*16</t>
  </si>
  <si>
    <t>ААбл 3*120</t>
  </si>
  <si>
    <t>Строительство трансформаторных подстанций</t>
  </si>
  <si>
    <t>от 250 кВА до 500 кВА</t>
  </si>
  <si>
    <t>Оборотно-сальдовая ведомость по счету 20 за 2018 г.</t>
  </si>
  <si>
    <t>20</t>
  </si>
  <si>
    <t>аренда земли</t>
  </si>
  <si>
    <t>Имущественные налоги</t>
  </si>
  <si>
    <t xml:space="preserve">охрана имущества </t>
  </si>
  <si>
    <t>Анализ зарплаты по сотрудникам (в целом за период)</t>
  </si>
  <si>
    <t>Организация</t>
  </si>
  <si>
    <t>РЫБИНСКАЯ ГОРОДСКАЯ ЭЛЕКТРОСЕТЬ ОАО</t>
  </si>
  <si>
    <t>Период</t>
  </si>
  <si>
    <t>Январь 2018 - Декабрь 2018</t>
  </si>
  <si>
    <t>Подразделение</t>
  </si>
  <si>
    <t>Сальдо на начало месяца</t>
  </si>
  <si>
    <t>Отработано</t>
  </si>
  <si>
    <t>Не отработано</t>
  </si>
  <si>
    <t>Праздн. и выходн.</t>
  </si>
  <si>
    <t>Оклад (по часам)</t>
  </si>
  <si>
    <t>Отпуск</t>
  </si>
  <si>
    <t>Больничный</t>
  </si>
  <si>
    <t>Больн. (работодат.)</t>
  </si>
  <si>
    <t>Совмещение</t>
  </si>
  <si>
    <t>премия не используется</t>
  </si>
  <si>
    <t>доп премия за месяц</t>
  </si>
  <si>
    <t>Праздничная премия</t>
  </si>
  <si>
    <t>Премия ОДС</t>
  </si>
  <si>
    <t>Всего начислено</t>
  </si>
  <si>
    <t>НДФЛ</t>
  </si>
  <si>
    <t>Удержание за путевки</t>
  </si>
  <si>
    <t>Профвзносы</t>
  </si>
  <si>
    <t>Всего удержано</t>
  </si>
  <si>
    <t>Выплата аванса</t>
  </si>
  <si>
    <t>Выплата зарплаты</t>
  </si>
  <si>
    <t>Выплата в межрасчетный период</t>
  </si>
  <si>
    <t>Всего включено в ведомости</t>
  </si>
  <si>
    <t>Зачтено излишне удержанного НДФЛ</t>
  </si>
  <si>
    <t>НДФЛ к зачету в счет будущих платежей</t>
  </si>
  <si>
    <t>Натур. доход путевки леч.</t>
  </si>
  <si>
    <t>Сальдо на конец месяца</t>
  </si>
  <si>
    <t>Сотрудник</t>
  </si>
  <si>
    <t>Дней</t>
  </si>
  <si>
    <t>Часов</t>
  </si>
  <si>
    <t>Производственно-технический отдел (ПТО)</t>
  </si>
  <si>
    <t>Косенкова Оксана Анатольевна</t>
  </si>
  <si>
    <t>Нораева Лариса Вячеславовна</t>
  </si>
  <si>
    <t>Парфенов Максим Станиславович</t>
  </si>
  <si>
    <t>Ревякина Любовь Васильевна</t>
  </si>
  <si>
    <t>Январь 2019 - Декабрь 2019</t>
  </si>
  <si>
    <t>Праздн. и выходн. норм.</t>
  </si>
  <si>
    <t>Оплата по среднему заработку</t>
  </si>
  <si>
    <t>Премия квартальная</t>
  </si>
  <si>
    <t>Премия еж.</t>
  </si>
  <si>
    <t>2.1.1.1.2</t>
  </si>
  <si>
    <t>2.1.1.1.3</t>
  </si>
  <si>
    <t>4.1.2.4</t>
  </si>
  <si>
    <t>4.1.2.5</t>
  </si>
  <si>
    <t xml:space="preserve">за 2018-2020 год </t>
  </si>
  <si>
    <t>Январь 2020 - Декабрь 2020</t>
  </si>
  <si>
    <t>Компенсация за задержку зарплаты</t>
  </si>
  <si>
    <t>Премия годовая</t>
  </si>
  <si>
    <t>Оборотно-сальдовая ведомость по счету 20.01 за 2020 г.</t>
  </si>
  <si>
    <t xml:space="preserve">аренда помещений и оборудования </t>
  </si>
  <si>
    <t>восстановление дорожного покрытия</t>
  </si>
  <si>
    <t>метрология и поверка приборов</t>
  </si>
  <si>
    <t>размещение информации в СМИ</t>
  </si>
  <si>
    <t>услуги эколога</t>
  </si>
  <si>
    <t>Расходы на выполнение мероприятий по технологическому присоединению, предусмотренным подпунктами «а», «в» пункта 16 Методических указаний, за 2020 год</t>
  </si>
  <si>
    <t>Данные за предыдущий период регулирования (2020)</t>
  </si>
  <si>
    <t>2.1.1.2.1</t>
  </si>
  <si>
    <t>свыше 50 квадратных мм включительно</t>
  </si>
  <si>
    <t>4.3.2.</t>
  </si>
  <si>
    <t>установка линейной ячейки номинальным током от 1000А и выше</t>
  </si>
  <si>
    <t>5.1.1.4.</t>
  </si>
  <si>
    <t>Обеспечение средствами коммерческого учета электрической энергии (мощности)</t>
  </si>
  <si>
    <t>7.</t>
  </si>
  <si>
    <t>8.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</si>
</sst>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00"/>
    <numFmt numFmtId="177" formatCode="0.000"/>
    <numFmt numFmtId="178" formatCode="0.0000"/>
    <numFmt numFmtId="179" formatCode="#,##0.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0"/>
      <name val="Arial Cyr"/>
      <family val="0"/>
    </font>
    <font>
      <sz val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2"/>
      <color indexed="8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24"/>
      <name val="Arial"/>
      <family val="2"/>
    </font>
    <font>
      <sz val="9"/>
      <color indexed="24"/>
      <name val="Arial"/>
      <family val="2"/>
    </font>
    <font>
      <sz val="9"/>
      <name val="Arial"/>
      <family val="2"/>
    </font>
    <font>
      <b/>
      <sz val="10"/>
      <color indexed="24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9"/>
      <color indexed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17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rgb="FF009646"/>
      <name val="Arial"/>
      <family val="2"/>
    </font>
    <font>
      <sz val="12"/>
      <color theme="1"/>
      <name val="Times New Roman"/>
      <family val="1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>
        <color indexed="63"/>
      </bottom>
    </border>
    <border>
      <left/>
      <right style="thin"/>
      <top style="medium"/>
      <bottom>
        <color indexed="63"/>
      </bottom>
    </border>
    <border>
      <left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</border>
    <border>
      <left style="thin">
        <color indexed="29"/>
      </left>
      <right>
        <color indexed="63"/>
      </right>
      <top style="thin">
        <color indexed="29"/>
      </top>
      <bottom style="thin">
        <color indexed="29"/>
      </bottom>
    </border>
    <border>
      <left>
        <color indexed="63"/>
      </left>
      <right style="thin">
        <color indexed="29"/>
      </right>
      <top style="thin">
        <color indexed="29"/>
      </top>
      <bottom style="thin">
        <color indexed="29"/>
      </bottom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  <border>
      <left style="thin">
        <color indexed="26"/>
      </left>
      <right>
        <color indexed="63"/>
      </right>
      <top style="thin">
        <color indexed="26"/>
      </top>
      <bottom style="thin">
        <color indexed="26"/>
      </bottom>
    </border>
    <border>
      <left>
        <color indexed="63"/>
      </left>
      <right style="thin">
        <color indexed="26"/>
      </right>
      <top style="thin">
        <color indexed="26"/>
      </top>
      <bottom style="thin">
        <color indexed="26"/>
      </bottom>
    </border>
    <border>
      <left style="thin"/>
      <right style="thin"/>
      <top/>
      <bottom/>
    </border>
    <border>
      <left style="thin">
        <color rgb="FFE6E6E6"/>
      </left>
      <right style="thin">
        <color rgb="FFE6E6E6"/>
      </right>
      <top style="thin">
        <color rgb="FFE6E6E6"/>
      </top>
      <bottom style="thin">
        <color rgb="FFE6E6E6"/>
      </bottom>
    </border>
    <border>
      <left style="thin">
        <color rgb="FFE6E6E6"/>
      </left>
      <right/>
      <top style="thin">
        <color rgb="FFE6E6E6"/>
      </top>
      <bottom style="thin">
        <color rgb="FFE6E6E6"/>
      </bottom>
    </border>
    <border>
      <left/>
      <right style="thin">
        <color rgb="FFE6E6E6"/>
      </right>
      <top style="thin">
        <color rgb="FFE6E6E6"/>
      </top>
      <bottom style="thin">
        <color rgb="FFE6E6E6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 style="thin"/>
      <top style="medium"/>
      <bottom/>
    </border>
    <border>
      <left style="thin">
        <color indexed="26"/>
      </left>
      <right style="thin">
        <color indexed="26"/>
      </right>
      <top style="thin">
        <color indexed="26"/>
      </top>
      <bottom>
        <color indexed="63"/>
      </bottom>
    </border>
    <border>
      <left style="thin">
        <color indexed="26"/>
      </left>
      <right>
        <color indexed="63"/>
      </right>
      <top>
        <color indexed="63"/>
      </top>
      <bottom style="thin">
        <color indexed="26"/>
      </bottom>
    </border>
    <border>
      <left>
        <color indexed="63"/>
      </left>
      <right style="thin">
        <color indexed="26"/>
      </right>
      <top>
        <color indexed="63"/>
      </top>
      <bottom style="thin">
        <color indexed="26"/>
      </bottom>
    </border>
    <border>
      <left style="thin">
        <color indexed="26"/>
      </left>
      <right style="thin">
        <color indexed="26"/>
      </right>
      <top>
        <color indexed="63"/>
      </top>
      <bottom style="thin">
        <color indexed="26"/>
      </bottom>
    </border>
    <border>
      <left style="thin">
        <color rgb="FFE6E6E6"/>
      </left>
      <right style="thin">
        <color rgb="FFE6E6E6"/>
      </right>
      <top style="thin">
        <color rgb="FFE6E6E6"/>
      </top>
      <bottom/>
    </border>
    <border>
      <left style="thin">
        <color rgb="FFE6E6E6"/>
      </left>
      <right style="thin">
        <color rgb="FFE6E6E6"/>
      </right>
      <top/>
      <bottom style="thin">
        <color rgb="FFE6E6E6"/>
      </bottom>
    </border>
    <border>
      <left style="thin">
        <color rgb="FFE6E6E6"/>
      </left>
      <right/>
      <top/>
      <bottom style="thin">
        <color rgb="FFE6E6E6"/>
      </bottom>
    </border>
    <border>
      <left/>
      <right style="thin">
        <color rgb="FFE6E6E6"/>
      </right>
      <top/>
      <bottom style="thin">
        <color rgb="FFE6E6E6"/>
      </bottom>
    </border>
    <border>
      <left style="thin"/>
      <right>
        <color indexed="63"/>
      </right>
      <top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46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justify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justify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justify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5" fillId="0" borderId="15" xfId="0" applyFont="1" applyBorder="1" applyAlignment="1">
      <alignment horizontal="center" vertical="center" wrapText="1"/>
    </xf>
    <xf numFmtId="0" fontId="0" fillId="0" borderId="19" xfId="0" applyBorder="1" applyAlignment="1">
      <alignment horizontal="left"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justify" vertical="center"/>
    </xf>
    <xf numFmtId="2" fontId="2" fillId="0" borderId="19" xfId="0" applyNumberFormat="1" applyFont="1" applyBorder="1" applyAlignment="1">
      <alignment horizontal="center" vertical="center" wrapText="1"/>
    </xf>
    <xf numFmtId="2" fontId="5" fillId="0" borderId="15" xfId="0" applyNumberFormat="1" applyFont="1" applyBorder="1" applyAlignment="1">
      <alignment horizontal="center" vertical="center" wrapText="1"/>
    </xf>
    <xf numFmtId="2" fontId="2" fillId="0" borderId="22" xfId="0" applyNumberFormat="1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justify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justify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2" fontId="2" fillId="0" borderId="26" xfId="0" applyNumberFormat="1" applyFont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2" fontId="2" fillId="0" borderId="24" xfId="0" applyNumberFormat="1" applyFont="1" applyBorder="1" applyAlignment="1">
      <alignment horizontal="center" vertical="center" wrapText="1"/>
    </xf>
    <xf numFmtId="49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vertical="center"/>
    </xf>
    <xf numFmtId="49" fontId="10" fillId="0" borderId="18" xfId="0" applyNumberFormat="1" applyFont="1" applyBorder="1" applyAlignment="1">
      <alignment/>
    </xf>
    <xf numFmtId="0" fontId="10" fillId="0" borderId="20" xfId="0" applyFont="1" applyBorder="1" applyAlignment="1">
      <alignment wrapText="1"/>
    </xf>
    <xf numFmtId="4" fontId="10" fillId="0" borderId="20" xfId="0" applyNumberFormat="1" applyFont="1" applyBorder="1" applyAlignment="1">
      <alignment vertical="top" wrapText="1"/>
    </xf>
    <xf numFmtId="49" fontId="10" fillId="0" borderId="25" xfId="0" applyNumberFormat="1" applyFont="1" applyBorder="1" applyAlignment="1">
      <alignment/>
    </xf>
    <xf numFmtId="0" fontId="10" fillId="0" borderId="28" xfId="0" applyFont="1" applyBorder="1" applyAlignment="1">
      <alignment wrapText="1"/>
    </xf>
    <xf numFmtId="4" fontId="10" fillId="0" borderId="28" xfId="0" applyNumberFormat="1" applyFont="1" applyBorder="1" applyAlignment="1">
      <alignment vertical="top" wrapText="1"/>
    </xf>
    <xf numFmtId="0" fontId="10" fillId="0" borderId="0" xfId="0" applyFont="1" applyAlignment="1">
      <alignment wrapText="1"/>
    </xf>
    <xf numFmtId="0" fontId="0" fillId="0" borderId="0" xfId="0" applyFont="1" applyFill="1" applyBorder="1" applyAlignment="1">
      <alignment horizontal="left" vertical="top" wrapText="1"/>
    </xf>
    <xf numFmtId="49" fontId="10" fillId="0" borderId="29" xfId="0" applyNumberFormat="1" applyFont="1" applyBorder="1" applyAlignment="1">
      <alignment/>
    </xf>
    <xf numFmtId="0" fontId="10" fillId="0" borderId="30" xfId="0" applyFont="1" applyBorder="1" applyAlignment="1">
      <alignment wrapText="1"/>
    </xf>
    <xf numFmtId="4" fontId="8" fillId="0" borderId="30" xfId="0" applyNumberFormat="1" applyFont="1" applyBorder="1" applyAlignment="1">
      <alignment horizontal="center" vertical="top" wrapText="1"/>
    </xf>
    <xf numFmtId="49" fontId="10" fillId="0" borderId="31" xfId="0" applyNumberFormat="1" applyFont="1" applyBorder="1" applyAlignment="1">
      <alignment vertical="center"/>
    </xf>
    <xf numFmtId="0" fontId="10" fillId="0" borderId="32" xfId="0" applyFont="1" applyBorder="1" applyAlignment="1">
      <alignment vertical="center"/>
    </xf>
    <xf numFmtId="0" fontId="10" fillId="0" borderId="33" xfId="0" applyFont="1" applyBorder="1" applyAlignment="1">
      <alignment vertical="center" wrapText="1"/>
    </xf>
    <xf numFmtId="0" fontId="10" fillId="0" borderId="34" xfId="0" applyFont="1" applyBorder="1" applyAlignment="1">
      <alignment vertical="center" wrapText="1"/>
    </xf>
    <xf numFmtId="0" fontId="10" fillId="0" borderId="35" xfId="0" applyFont="1" applyBorder="1" applyAlignment="1">
      <alignment vertical="center" wrapText="1"/>
    </xf>
    <xf numFmtId="49" fontId="10" fillId="0" borderId="10" xfId="0" applyNumberFormat="1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36" xfId="0" applyFont="1" applyBorder="1" applyAlignment="1">
      <alignment/>
    </xf>
    <xf numFmtId="0" fontId="10" fillId="0" borderId="37" xfId="0" applyFont="1" applyBorder="1" applyAlignment="1">
      <alignment/>
    </xf>
    <xf numFmtId="0" fontId="10" fillId="0" borderId="38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49" fontId="10" fillId="0" borderId="20" xfId="0" applyNumberFormat="1" applyFont="1" applyBorder="1" applyAlignment="1">
      <alignment/>
    </xf>
    <xf numFmtId="0" fontId="10" fillId="32" borderId="30" xfId="0" applyFont="1" applyFill="1" applyBorder="1" applyAlignment="1">
      <alignment/>
    </xf>
    <xf numFmtId="0" fontId="10" fillId="0" borderId="39" xfId="0" applyFont="1" applyBorder="1" applyAlignment="1">
      <alignment vertical="center" wrapText="1"/>
    </xf>
    <xf numFmtId="0" fontId="10" fillId="0" borderId="40" xfId="0" applyFont="1" applyBorder="1" applyAlignment="1">
      <alignment vertical="center" wrapText="1"/>
    </xf>
    <xf numFmtId="49" fontId="10" fillId="0" borderId="39" xfId="0" applyNumberFormat="1" applyFont="1" applyBorder="1" applyAlignment="1">
      <alignment vertical="center"/>
    </xf>
    <xf numFmtId="0" fontId="10" fillId="0" borderId="40" xfId="0" applyFont="1" applyBorder="1" applyAlignment="1">
      <alignment vertical="center"/>
    </xf>
    <xf numFmtId="0" fontId="0" fillId="0" borderId="20" xfId="0" applyBorder="1" applyAlignment="1">
      <alignment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6" fillId="33" borderId="41" xfId="0" applyNumberFormat="1" applyFont="1" applyFill="1" applyBorder="1" applyAlignment="1">
      <alignment horizontal="right" vertical="top" wrapText="1"/>
    </xf>
    <xf numFmtId="4" fontId="16" fillId="33" borderId="41" xfId="0" applyNumberFormat="1" applyFont="1" applyFill="1" applyBorder="1" applyAlignment="1">
      <alignment horizontal="right" vertical="top" wrapText="1"/>
    </xf>
    <xf numFmtId="0" fontId="16" fillId="33" borderId="42" xfId="0" applyNumberFormat="1" applyFont="1" applyFill="1" applyBorder="1" applyAlignment="1">
      <alignment horizontal="right" vertical="top" wrapText="1"/>
    </xf>
    <xf numFmtId="0" fontId="16" fillId="33" borderId="43" xfId="0" applyNumberFormat="1" applyFont="1" applyFill="1" applyBorder="1" applyAlignment="1">
      <alignment horizontal="right" vertical="top" wrapText="1"/>
    </xf>
    <xf numFmtId="0" fontId="18" fillId="0" borderId="41" xfId="0" applyNumberFormat="1" applyFont="1" applyBorder="1" applyAlignment="1">
      <alignment horizontal="right" vertical="top" wrapText="1"/>
    </xf>
    <xf numFmtId="4" fontId="18" fillId="0" borderId="41" xfId="0" applyNumberFormat="1" applyFont="1" applyBorder="1" applyAlignment="1">
      <alignment horizontal="right" vertical="top" wrapText="1"/>
    </xf>
    <xf numFmtId="0" fontId="18" fillId="0" borderId="42" xfId="0" applyNumberFormat="1" applyFont="1" applyBorder="1" applyAlignment="1">
      <alignment horizontal="right" vertical="top" wrapText="1"/>
    </xf>
    <xf numFmtId="0" fontId="18" fillId="0" borderId="43" xfId="0" applyNumberFormat="1" applyFont="1" applyBorder="1" applyAlignment="1">
      <alignment horizontal="right" vertical="top" wrapText="1"/>
    </xf>
    <xf numFmtId="2" fontId="18" fillId="0" borderId="41" xfId="0" applyNumberFormat="1" applyFont="1" applyBorder="1" applyAlignment="1">
      <alignment horizontal="right" vertical="top" wrapText="1"/>
    </xf>
    <xf numFmtId="0" fontId="19" fillId="34" borderId="44" xfId="0" applyNumberFormat="1" applyFont="1" applyFill="1" applyBorder="1" applyAlignment="1">
      <alignment horizontal="right" vertical="top" wrapText="1"/>
    </xf>
    <xf numFmtId="4" fontId="19" fillId="34" borderId="44" xfId="0" applyNumberFormat="1" applyFont="1" applyFill="1" applyBorder="1" applyAlignment="1">
      <alignment horizontal="right" vertical="top" wrapText="1"/>
    </xf>
    <xf numFmtId="0" fontId="19" fillId="34" borderId="45" xfId="0" applyNumberFormat="1" applyFont="1" applyFill="1" applyBorder="1" applyAlignment="1">
      <alignment horizontal="right" vertical="top" wrapText="1"/>
    </xf>
    <xf numFmtId="0" fontId="19" fillId="34" borderId="46" xfId="0" applyNumberFormat="1" applyFont="1" applyFill="1" applyBorder="1" applyAlignment="1">
      <alignment horizontal="right" vertical="top" wrapText="1"/>
    </xf>
    <xf numFmtId="0" fontId="0" fillId="0" borderId="0" xfId="0" applyAlignment="1">
      <alignment wrapText="1"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177" fontId="0" fillId="0" borderId="0" xfId="0" applyNumberFormat="1" applyAlignment="1">
      <alignment/>
    </xf>
    <xf numFmtId="0" fontId="9" fillId="0" borderId="20" xfId="0" applyFont="1" applyBorder="1" applyAlignment="1">
      <alignment horizontal="center"/>
    </xf>
    <xf numFmtId="0" fontId="9" fillId="0" borderId="20" xfId="0" applyFont="1" applyBorder="1" applyAlignment="1">
      <alignment horizontal="center" vertical="center"/>
    </xf>
    <xf numFmtId="2" fontId="9" fillId="0" borderId="20" xfId="0" applyNumberFormat="1" applyFont="1" applyBorder="1" applyAlignment="1">
      <alignment horizontal="center" vertical="center"/>
    </xf>
    <xf numFmtId="177" fontId="9" fillId="0" borderId="20" xfId="0" applyNumberFormat="1" applyFont="1" applyBorder="1" applyAlignment="1">
      <alignment horizontal="center"/>
    </xf>
    <xf numFmtId="0" fontId="0" fillId="0" borderId="20" xfId="0" applyBorder="1" applyAlignment="1">
      <alignment wrapText="1"/>
    </xf>
    <xf numFmtId="4" fontId="0" fillId="0" borderId="20" xfId="0" applyNumberFormat="1" applyBorder="1" applyAlignment="1">
      <alignment/>
    </xf>
    <xf numFmtId="177" fontId="0" fillId="0" borderId="20" xfId="0" applyNumberFormat="1" applyBorder="1" applyAlignment="1">
      <alignment/>
    </xf>
    <xf numFmtId="0" fontId="0" fillId="0" borderId="20" xfId="0" applyFill="1" applyBorder="1" applyAlignment="1">
      <alignment/>
    </xf>
    <xf numFmtId="4" fontId="0" fillId="0" borderId="20" xfId="0" applyNumberFormat="1" applyFill="1" applyBorder="1" applyAlignment="1">
      <alignment/>
    </xf>
    <xf numFmtId="0" fontId="0" fillId="0" borderId="20" xfId="0" applyFill="1" applyBorder="1" applyAlignment="1">
      <alignment/>
    </xf>
    <xf numFmtId="4" fontId="0" fillId="0" borderId="20" xfId="0" applyNumberFormat="1" applyFill="1" applyBorder="1" applyAlignment="1">
      <alignment/>
    </xf>
    <xf numFmtId="4" fontId="0" fillId="0" borderId="20" xfId="0" applyNumberFormat="1" applyBorder="1" applyAlignment="1">
      <alignment/>
    </xf>
    <xf numFmtId="2" fontId="0" fillId="0" borderId="20" xfId="0" applyNumberFormat="1" applyBorder="1" applyAlignment="1">
      <alignment/>
    </xf>
    <xf numFmtId="177" fontId="0" fillId="0" borderId="20" xfId="0" applyNumberFormat="1" applyBorder="1" applyAlignment="1">
      <alignment horizontal="right" wrapText="1"/>
    </xf>
    <xf numFmtId="0" fontId="0" fillId="0" borderId="20" xfId="0" applyBorder="1" applyAlignment="1">
      <alignment horizontal="left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177" fontId="0" fillId="0" borderId="0" xfId="0" applyNumberFormat="1" applyBorder="1" applyAlignment="1">
      <alignment/>
    </xf>
    <xf numFmtId="0" fontId="0" fillId="0" borderId="21" xfId="0" applyBorder="1" applyAlignment="1">
      <alignment/>
    </xf>
    <xf numFmtId="0" fontId="2" fillId="0" borderId="24" xfId="0" applyFont="1" applyFill="1" applyBorder="1" applyAlignment="1">
      <alignment horizontal="center" vertical="center" wrapText="1"/>
    </xf>
    <xf numFmtId="2" fontId="2" fillId="0" borderId="22" xfId="0" applyNumberFormat="1" applyFont="1" applyFill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/>
    </xf>
    <xf numFmtId="0" fontId="0" fillId="0" borderId="20" xfId="0" applyBorder="1" applyAlignment="1">
      <alignment/>
    </xf>
    <xf numFmtId="4" fontId="0" fillId="35" borderId="20" xfId="0" applyNumberFormat="1" applyFill="1" applyBorder="1" applyAlignment="1">
      <alignment/>
    </xf>
    <xf numFmtId="0" fontId="0" fillId="0" borderId="20" xfId="0" applyFill="1" applyBorder="1" applyAlignment="1">
      <alignment horizontal="left" wrapText="1"/>
    </xf>
    <xf numFmtId="177" fontId="0" fillId="36" borderId="20" xfId="0" applyNumberFormat="1" applyFill="1" applyBorder="1" applyAlignment="1">
      <alignment/>
    </xf>
    <xf numFmtId="0" fontId="0" fillId="36" borderId="20" xfId="0" applyFill="1" applyBorder="1" applyAlignment="1">
      <alignment/>
    </xf>
    <xf numFmtId="4" fontId="0" fillId="37" borderId="20" xfId="0" applyNumberFormat="1" applyFill="1" applyBorder="1" applyAlignment="1">
      <alignment/>
    </xf>
    <xf numFmtId="4" fontId="0" fillId="0" borderId="20" xfId="0" applyNumberFormat="1" applyFill="1" applyBorder="1" applyAlignment="1">
      <alignment horizontal="right"/>
    </xf>
    <xf numFmtId="4" fontId="0" fillId="0" borderId="20" xfId="0" applyNumberFormat="1" applyBorder="1" applyAlignment="1">
      <alignment horizontal="right"/>
    </xf>
    <xf numFmtId="0" fontId="0" fillId="0" borderId="20" xfId="0" applyFill="1" applyBorder="1" applyAlignment="1">
      <alignment wrapText="1"/>
    </xf>
    <xf numFmtId="2" fontId="0" fillId="35" borderId="20" xfId="0" applyNumberFormat="1" applyFill="1" applyBorder="1" applyAlignment="1">
      <alignment/>
    </xf>
    <xf numFmtId="2" fontId="0" fillId="38" borderId="20" xfId="0" applyNumberFormat="1" applyFill="1" applyBorder="1" applyAlignment="1">
      <alignment/>
    </xf>
    <xf numFmtId="2" fontId="0" fillId="37" borderId="20" xfId="0" applyNumberFormat="1" applyFill="1" applyBorder="1" applyAlignment="1">
      <alignment/>
    </xf>
    <xf numFmtId="4" fontId="0" fillId="38" borderId="20" xfId="0" applyNumberFormat="1" applyFill="1" applyBorder="1" applyAlignment="1">
      <alignment/>
    </xf>
    <xf numFmtId="0" fontId="9" fillId="0" borderId="20" xfId="0" applyNumberFormat="1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0" fillId="38" borderId="20" xfId="0" applyFill="1" applyBorder="1" applyAlignment="1">
      <alignment/>
    </xf>
    <xf numFmtId="17" fontId="0" fillId="38" borderId="20" xfId="0" applyNumberFormat="1" applyFill="1" applyBorder="1" applyAlignment="1">
      <alignment/>
    </xf>
    <xf numFmtId="0" fontId="0" fillId="38" borderId="20" xfId="0" applyFill="1" applyBorder="1" applyAlignment="1">
      <alignment wrapText="1"/>
    </xf>
    <xf numFmtId="177" fontId="0" fillId="38" borderId="20" xfId="0" applyNumberFormat="1" applyFill="1" applyBorder="1" applyAlignment="1">
      <alignment/>
    </xf>
    <xf numFmtId="0" fontId="0" fillId="35" borderId="20" xfId="0" applyFill="1" applyBorder="1" applyAlignment="1">
      <alignment/>
    </xf>
    <xf numFmtId="17" fontId="0" fillId="35" borderId="20" xfId="0" applyNumberFormat="1" applyFill="1" applyBorder="1" applyAlignment="1">
      <alignment/>
    </xf>
    <xf numFmtId="0" fontId="0" fillId="35" borderId="20" xfId="0" applyFill="1" applyBorder="1" applyAlignment="1">
      <alignment wrapText="1"/>
    </xf>
    <xf numFmtId="177" fontId="0" fillId="35" borderId="20" xfId="0" applyNumberFormat="1" applyFill="1" applyBorder="1" applyAlignment="1">
      <alignment/>
    </xf>
    <xf numFmtId="0" fontId="0" fillId="39" borderId="20" xfId="0" applyFill="1" applyBorder="1" applyAlignment="1">
      <alignment/>
    </xf>
    <xf numFmtId="17" fontId="0" fillId="39" borderId="20" xfId="0" applyNumberFormat="1" applyFill="1" applyBorder="1" applyAlignment="1">
      <alignment/>
    </xf>
    <xf numFmtId="0" fontId="0" fillId="39" borderId="20" xfId="0" applyFill="1" applyBorder="1" applyAlignment="1">
      <alignment wrapText="1"/>
    </xf>
    <xf numFmtId="4" fontId="0" fillId="39" borderId="20" xfId="0" applyNumberFormat="1" applyFill="1" applyBorder="1" applyAlignment="1">
      <alignment/>
    </xf>
    <xf numFmtId="177" fontId="0" fillId="39" borderId="20" xfId="0" applyNumberFormat="1" applyFill="1" applyBorder="1" applyAlignment="1">
      <alignment/>
    </xf>
    <xf numFmtId="177" fontId="0" fillId="36" borderId="20" xfId="0" applyNumberFormat="1" applyFill="1" applyBorder="1" applyAlignment="1">
      <alignment wrapText="1"/>
    </xf>
    <xf numFmtId="0" fontId="0" fillId="36" borderId="20" xfId="0" applyFill="1" applyBorder="1" applyAlignment="1">
      <alignment wrapText="1"/>
    </xf>
    <xf numFmtId="0" fontId="0" fillId="38" borderId="47" xfId="0" applyFill="1" applyBorder="1" applyAlignment="1">
      <alignment wrapText="1"/>
    </xf>
    <xf numFmtId="177" fontId="0" fillId="38" borderId="20" xfId="0" applyNumberFormat="1" applyFill="1" applyBorder="1" applyAlignment="1">
      <alignment horizontal="right" wrapText="1"/>
    </xf>
    <xf numFmtId="0" fontId="1" fillId="0" borderId="20" xfId="0" applyFont="1" applyBorder="1" applyAlignment="1">
      <alignment/>
    </xf>
    <xf numFmtId="4" fontId="1" fillId="0" borderId="20" xfId="0" applyNumberFormat="1" applyFont="1" applyBorder="1" applyAlignment="1">
      <alignment/>
    </xf>
    <xf numFmtId="4" fontId="0" fillId="37" borderId="20" xfId="0" applyNumberFormat="1" applyFont="1" applyFill="1" applyBorder="1" applyAlignment="1">
      <alignment/>
    </xf>
    <xf numFmtId="4" fontId="0" fillId="0" borderId="20" xfId="0" applyNumberFormat="1" applyFont="1" applyBorder="1" applyAlignment="1">
      <alignment/>
    </xf>
    <xf numFmtId="177" fontId="1" fillId="36" borderId="20" xfId="0" applyNumberFormat="1" applyFont="1" applyFill="1" applyBorder="1" applyAlignment="1">
      <alignment/>
    </xf>
    <xf numFmtId="0" fontId="1" fillId="36" borderId="20" xfId="0" applyFont="1" applyFill="1" applyBorder="1" applyAlignment="1">
      <alignment/>
    </xf>
    <xf numFmtId="0" fontId="0" fillId="38" borderId="20" xfId="0" applyFill="1" applyBorder="1" applyAlignment="1">
      <alignment/>
    </xf>
    <xf numFmtId="0" fontId="0" fillId="35" borderId="20" xfId="0" applyFill="1" applyBorder="1" applyAlignment="1">
      <alignment/>
    </xf>
    <xf numFmtId="0" fontId="0" fillId="40" borderId="20" xfId="0" applyFill="1" applyBorder="1" applyAlignment="1">
      <alignment/>
    </xf>
    <xf numFmtId="17" fontId="0" fillId="40" borderId="20" xfId="0" applyNumberFormat="1" applyFill="1" applyBorder="1" applyAlignment="1">
      <alignment/>
    </xf>
    <xf numFmtId="0" fontId="0" fillId="40" borderId="20" xfId="0" applyFill="1" applyBorder="1" applyAlignment="1">
      <alignment/>
    </xf>
    <xf numFmtId="2" fontId="0" fillId="40" borderId="20" xfId="0" applyNumberFormat="1" applyFill="1" applyBorder="1" applyAlignment="1">
      <alignment/>
    </xf>
    <xf numFmtId="4" fontId="0" fillId="40" borderId="20" xfId="0" applyNumberFormat="1" applyFill="1" applyBorder="1" applyAlignment="1">
      <alignment/>
    </xf>
    <xf numFmtId="177" fontId="0" fillId="40" borderId="20" xfId="0" applyNumberFormat="1" applyFill="1" applyBorder="1" applyAlignment="1">
      <alignment/>
    </xf>
    <xf numFmtId="0" fontId="10" fillId="0" borderId="20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0" fillId="38" borderId="0" xfId="0" applyFill="1" applyAlignment="1">
      <alignment/>
    </xf>
    <xf numFmtId="0" fontId="15" fillId="0" borderId="0" xfId="0" applyNumberFormat="1" applyFont="1" applyAlignment="1">
      <alignment vertical="top" wrapText="1"/>
    </xf>
    <xf numFmtId="4" fontId="0" fillId="36" borderId="0" xfId="0" applyNumberFormat="1" applyFill="1" applyAlignment="1">
      <alignment/>
    </xf>
    <xf numFmtId="0" fontId="10" fillId="0" borderId="0" xfId="0" applyFont="1" applyFill="1" applyBorder="1" applyAlignment="1">
      <alignment/>
    </xf>
    <xf numFmtId="177" fontId="0" fillId="0" borderId="20" xfId="0" applyNumberFormat="1" applyFill="1" applyBorder="1" applyAlignment="1">
      <alignment/>
    </xf>
    <xf numFmtId="4" fontId="0" fillId="41" borderId="20" xfId="0" applyNumberFormat="1" applyFill="1" applyBorder="1" applyAlignment="1">
      <alignment/>
    </xf>
    <xf numFmtId="4" fontId="0" fillId="41" borderId="20" xfId="0" applyNumberFormat="1" applyFill="1" applyBorder="1" applyAlignment="1">
      <alignment/>
    </xf>
    <xf numFmtId="2" fontId="0" fillId="41" borderId="20" xfId="0" applyNumberFormat="1" applyFill="1" applyBorder="1" applyAlignment="1">
      <alignment/>
    </xf>
    <xf numFmtId="0" fontId="10" fillId="0" borderId="20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/>
    </xf>
    <xf numFmtId="4" fontId="10" fillId="0" borderId="28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5" fillId="0" borderId="0" xfId="0" applyNumberFormat="1" applyFont="1" applyAlignment="1">
      <alignment vertical="top" wrapText="1"/>
    </xf>
    <xf numFmtId="0" fontId="16" fillId="33" borderId="41" xfId="0" applyNumberFormat="1" applyFont="1" applyFill="1" applyBorder="1" applyAlignment="1">
      <alignment horizontal="right" vertical="top" wrapText="1"/>
    </xf>
    <xf numFmtId="4" fontId="16" fillId="33" borderId="41" xfId="0" applyNumberFormat="1" applyFont="1" applyFill="1" applyBorder="1" applyAlignment="1">
      <alignment horizontal="right" vertical="top" wrapText="1"/>
    </xf>
    <xf numFmtId="0" fontId="16" fillId="33" borderId="42" xfId="0" applyNumberFormat="1" applyFont="1" applyFill="1" applyBorder="1" applyAlignment="1">
      <alignment horizontal="right" vertical="top" wrapText="1"/>
    </xf>
    <xf numFmtId="0" fontId="16" fillId="33" borderId="43" xfId="0" applyNumberFormat="1" applyFont="1" applyFill="1" applyBorder="1" applyAlignment="1">
      <alignment horizontal="right" vertical="top" wrapText="1"/>
    </xf>
    <xf numFmtId="0" fontId="18" fillId="0" borderId="41" xfId="0" applyNumberFormat="1" applyFont="1" applyBorder="1" applyAlignment="1">
      <alignment horizontal="right" vertical="top" wrapText="1"/>
    </xf>
    <xf numFmtId="4" fontId="18" fillId="0" borderId="41" xfId="0" applyNumberFormat="1" applyFont="1" applyBorder="1" applyAlignment="1">
      <alignment horizontal="right" vertical="top" wrapText="1"/>
    </xf>
    <xf numFmtId="0" fontId="18" fillId="0" borderId="42" xfId="0" applyNumberFormat="1" applyFont="1" applyBorder="1" applyAlignment="1">
      <alignment horizontal="right" vertical="top" wrapText="1"/>
    </xf>
    <xf numFmtId="0" fontId="18" fillId="0" borderId="43" xfId="0" applyNumberFormat="1" applyFont="1" applyBorder="1" applyAlignment="1">
      <alignment horizontal="right" vertical="top" wrapText="1"/>
    </xf>
    <xf numFmtId="2" fontId="18" fillId="0" borderId="41" xfId="0" applyNumberFormat="1" applyFont="1" applyBorder="1" applyAlignment="1">
      <alignment horizontal="right" vertical="top" wrapText="1"/>
    </xf>
    <xf numFmtId="0" fontId="19" fillId="34" borderId="44" xfId="0" applyNumberFormat="1" applyFont="1" applyFill="1" applyBorder="1" applyAlignment="1">
      <alignment horizontal="right" vertical="top" wrapText="1"/>
    </xf>
    <xf numFmtId="4" fontId="19" fillId="34" borderId="44" xfId="0" applyNumberFormat="1" applyFont="1" applyFill="1" applyBorder="1" applyAlignment="1">
      <alignment horizontal="right" vertical="top" wrapText="1"/>
    </xf>
    <xf numFmtId="0" fontId="19" fillId="34" borderId="45" xfId="0" applyNumberFormat="1" applyFont="1" applyFill="1" applyBorder="1" applyAlignment="1">
      <alignment horizontal="right" vertical="top" wrapText="1"/>
    </xf>
    <xf numFmtId="0" fontId="19" fillId="34" borderId="46" xfId="0" applyNumberFormat="1" applyFont="1" applyFill="1" applyBorder="1" applyAlignment="1">
      <alignment horizontal="right" vertical="top" wrapText="1"/>
    </xf>
    <xf numFmtId="0" fontId="0" fillId="0" borderId="0" xfId="0" applyAlignment="1">
      <alignment horizontal="left"/>
    </xf>
    <xf numFmtId="0" fontId="59" fillId="0" borderId="0" xfId="0" applyFont="1" applyAlignment="1">
      <alignment horizontal="left" vertical="top"/>
    </xf>
    <xf numFmtId="0" fontId="24" fillId="0" borderId="48" xfId="0" applyFont="1" applyBorder="1" applyAlignment="1">
      <alignment horizontal="left" vertical="top" wrapText="1"/>
    </xf>
    <xf numFmtId="0" fontId="25" fillId="0" borderId="49" xfId="0" applyFont="1" applyBorder="1" applyAlignment="1">
      <alignment horizontal="right" vertical="top"/>
    </xf>
    <xf numFmtId="0" fontId="25" fillId="0" borderId="50" xfId="0" applyFont="1" applyBorder="1" applyAlignment="1">
      <alignment horizontal="right" vertical="top"/>
    </xf>
    <xf numFmtId="1" fontId="25" fillId="0" borderId="48" xfId="0" applyNumberFormat="1" applyFont="1" applyBorder="1" applyAlignment="1">
      <alignment horizontal="right" vertical="top"/>
    </xf>
    <xf numFmtId="3" fontId="25" fillId="0" borderId="48" xfId="0" applyNumberFormat="1" applyFont="1" applyBorder="1" applyAlignment="1">
      <alignment horizontal="right" vertical="top"/>
    </xf>
    <xf numFmtId="4" fontId="25" fillId="0" borderId="48" xfId="0" applyNumberFormat="1" applyFont="1" applyBorder="1" applyAlignment="1">
      <alignment horizontal="right" vertical="top"/>
    </xf>
    <xf numFmtId="0" fontId="0" fillId="0" borderId="49" xfId="0" applyBorder="1" applyAlignment="1">
      <alignment horizontal="right" vertical="top"/>
    </xf>
    <xf numFmtId="0" fontId="0" fillId="0" borderId="50" xfId="0" applyBorder="1" applyAlignment="1">
      <alignment horizontal="right" vertical="top"/>
    </xf>
    <xf numFmtId="1" fontId="0" fillId="0" borderId="48" xfId="0" applyNumberFormat="1" applyBorder="1" applyAlignment="1">
      <alignment horizontal="right" vertical="top"/>
    </xf>
    <xf numFmtId="3" fontId="0" fillId="0" borderId="48" xfId="0" applyNumberFormat="1" applyBorder="1" applyAlignment="1">
      <alignment horizontal="right" vertical="top"/>
    </xf>
    <xf numFmtId="4" fontId="0" fillId="0" borderId="48" xfId="0" applyNumberFormat="1" applyBorder="1" applyAlignment="1">
      <alignment horizontal="right" vertical="top"/>
    </xf>
    <xf numFmtId="0" fontId="0" fillId="0" borderId="48" xfId="0" applyBorder="1" applyAlignment="1">
      <alignment horizontal="left" vertical="top"/>
    </xf>
    <xf numFmtId="0" fontId="0" fillId="0" borderId="49" xfId="0" applyBorder="1" applyAlignment="1">
      <alignment horizontal="left" vertical="top"/>
    </xf>
    <xf numFmtId="0" fontId="0" fillId="0" borderId="50" xfId="0" applyBorder="1" applyAlignment="1">
      <alignment horizontal="left" vertical="top"/>
    </xf>
    <xf numFmtId="0" fontId="24" fillId="0" borderId="49" xfId="0" applyFont="1" applyBorder="1" applyAlignment="1">
      <alignment horizontal="right" vertical="top"/>
    </xf>
    <xf numFmtId="0" fontId="24" fillId="0" borderId="50" xfId="0" applyFont="1" applyBorder="1" applyAlignment="1">
      <alignment horizontal="right" vertical="top"/>
    </xf>
    <xf numFmtId="1" fontId="24" fillId="0" borderId="48" xfId="0" applyNumberFormat="1" applyFont="1" applyBorder="1" applyAlignment="1">
      <alignment horizontal="right" vertical="top"/>
    </xf>
    <xf numFmtId="3" fontId="24" fillId="0" borderId="48" xfId="0" applyNumberFormat="1" applyFont="1" applyBorder="1" applyAlignment="1">
      <alignment horizontal="right" vertical="top"/>
    </xf>
    <xf numFmtId="4" fontId="24" fillId="0" borderId="48" xfId="0" applyNumberFormat="1" applyFont="1" applyBorder="1" applyAlignment="1">
      <alignment horizontal="right" vertical="top"/>
    </xf>
    <xf numFmtId="4" fontId="0" fillId="0" borderId="0" xfId="0" applyNumberFormat="1" applyAlignment="1">
      <alignment horizontal="left"/>
    </xf>
    <xf numFmtId="4" fontId="10" fillId="0" borderId="20" xfId="0" applyNumberFormat="1" applyFont="1" applyFill="1" applyBorder="1" applyAlignment="1">
      <alignment vertical="top" wrapText="1"/>
    </xf>
    <xf numFmtId="179" fontId="25" fillId="0" borderId="48" xfId="0" applyNumberFormat="1" applyFont="1" applyBorder="1" applyAlignment="1">
      <alignment horizontal="right" vertical="top"/>
    </xf>
    <xf numFmtId="2" fontId="25" fillId="0" borderId="48" xfId="0" applyNumberFormat="1" applyFont="1" applyBorder="1" applyAlignment="1">
      <alignment horizontal="right" vertical="top"/>
    </xf>
    <xf numFmtId="0" fontId="25" fillId="0" borderId="48" xfId="0" applyFont="1" applyBorder="1" applyAlignment="1">
      <alignment horizontal="right" vertical="top"/>
    </xf>
    <xf numFmtId="0" fontId="0" fillId="0" borderId="48" xfId="0" applyBorder="1" applyAlignment="1">
      <alignment horizontal="right" vertical="top"/>
    </xf>
    <xf numFmtId="179" fontId="0" fillId="0" borderId="48" xfId="0" applyNumberFormat="1" applyBorder="1" applyAlignment="1">
      <alignment horizontal="right" vertical="top"/>
    </xf>
    <xf numFmtId="2" fontId="0" fillId="0" borderId="48" xfId="0" applyNumberFormat="1" applyBorder="1" applyAlignment="1">
      <alignment horizontal="right" vertical="top"/>
    </xf>
    <xf numFmtId="179" fontId="24" fillId="0" borderId="48" xfId="0" applyNumberFormat="1" applyFont="1" applyBorder="1" applyAlignment="1">
      <alignment horizontal="right" vertical="top"/>
    </xf>
    <xf numFmtId="2" fontId="24" fillId="0" borderId="48" xfId="0" applyNumberFormat="1" applyFont="1" applyBorder="1" applyAlignment="1">
      <alignment horizontal="right" vertical="top"/>
    </xf>
    <xf numFmtId="0" fontId="24" fillId="0" borderId="48" xfId="0" applyFont="1" applyBorder="1" applyAlignment="1">
      <alignment horizontal="right" vertical="top"/>
    </xf>
    <xf numFmtId="4" fontId="10" fillId="0" borderId="0" xfId="0" applyNumberFormat="1" applyFont="1" applyAlignment="1">
      <alignment/>
    </xf>
    <xf numFmtId="4" fontId="18" fillId="36" borderId="41" xfId="0" applyNumberFormat="1" applyFont="1" applyFill="1" applyBorder="1" applyAlignment="1">
      <alignment horizontal="right" vertical="top" wrapText="1"/>
    </xf>
    <xf numFmtId="2" fontId="18" fillId="36" borderId="41" xfId="0" applyNumberFormat="1" applyFont="1" applyFill="1" applyBorder="1" applyAlignment="1">
      <alignment horizontal="right" vertical="top" wrapText="1"/>
    </xf>
    <xf numFmtId="4" fontId="22" fillId="36" borderId="41" xfId="0" applyNumberFormat="1" applyFont="1" applyFill="1" applyBorder="1" applyAlignment="1">
      <alignment horizontal="right" vertical="top" wrapText="1"/>
    </xf>
    <xf numFmtId="4" fontId="18" fillId="36" borderId="41" xfId="0" applyNumberFormat="1" applyFont="1" applyFill="1" applyBorder="1" applyAlignment="1">
      <alignment horizontal="right" vertical="top" wrapText="1"/>
    </xf>
    <xf numFmtId="2" fontId="18" fillId="36" borderId="41" xfId="0" applyNumberFormat="1" applyFont="1" applyFill="1" applyBorder="1" applyAlignment="1">
      <alignment horizontal="right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justify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60" fillId="0" borderId="20" xfId="0" applyFont="1" applyFill="1" applyBorder="1" applyAlignment="1">
      <alignment horizontal="right" vertical="center" wrapText="1"/>
    </xf>
    <xf numFmtId="0" fontId="0" fillId="0" borderId="19" xfId="0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1" fontId="2" fillId="0" borderId="24" xfId="0" applyNumberFormat="1" applyFont="1" applyFill="1" applyBorder="1" applyAlignment="1">
      <alignment horizontal="center" vertical="center" wrapText="1"/>
    </xf>
    <xf numFmtId="2" fontId="2" fillId="0" borderId="19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Alignment="1">
      <alignment/>
    </xf>
    <xf numFmtId="0" fontId="2" fillId="0" borderId="22" xfId="0" applyFont="1" applyFill="1" applyBorder="1" applyAlignment="1">
      <alignment horizontal="justify" vertical="center" wrapText="1"/>
    </xf>
    <xf numFmtId="2" fontId="5" fillId="0" borderId="15" xfId="0" applyNumberFormat="1" applyFont="1" applyFill="1" applyBorder="1" applyAlignment="1">
      <alignment horizontal="center" vertical="center" wrapText="1"/>
    </xf>
    <xf numFmtId="4" fontId="2" fillId="0" borderId="24" xfId="0" applyNumberFormat="1" applyFont="1" applyFill="1" applyBorder="1" applyAlignment="1">
      <alignment horizontal="center" vertical="center" wrapText="1"/>
    </xf>
    <xf numFmtId="178" fontId="0" fillId="0" borderId="0" xfId="0" applyNumberFormat="1" applyFill="1" applyAlignment="1">
      <alignment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justify" vertical="center" wrapText="1"/>
    </xf>
    <xf numFmtId="49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10" fillId="0" borderId="15" xfId="0" applyFont="1" applyFill="1" applyBorder="1" applyAlignment="1">
      <alignment vertical="top" wrapText="1"/>
    </xf>
    <xf numFmtId="0" fontId="10" fillId="0" borderId="18" xfId="0" applyFont="1" applyFill="1" applyBorder="1" applyAlignment="1">
      <alignment horizontal="center" vertical="top" wrapText="1"/>
    </xf>
    <xf numFmtId="0" fontId="10" fillId="0" borderId="20" xfId="0" applyFont="1" applyFill="1" applyBorder="1" applyAlignment="1">
      <alignment horizontal="center" vertical="top" wrapText="1"/>
    </xf>
    <xf numFmtId="0" fontId="10" fillId="0" borderId="24" xfId="0" applyFont="1" applyFill="1" applyBorder="1" applyAlignment="1">
      <alignment horizontal="center" vertical="top" wrapText="1"/>
    </xf>
    <xf numFmtId="0" fontId="10" fillId="0" borderId="19" xfId="0" applyFont="1" applyFill="1" applyBorder="1" applyAlignment="1">
      <alignment horizontal="center" vertical="top" wrapText="1"/>
    </xf>
    <xf numFmtId="0" fontId="10" fillId="0" borderId="30" xfId="0" applyFont="1" applyFill="1" applyBorder="1" applyAlignment="1">
      <alignment horizontal="center" vertical="top" wrapText="1"/>
    </xf>
    <xf numFmtId="0" fontId="10" fillId="0" borderId="20" xfId="0" applyFont="1" applyFill="1" applyBorder="1" applyAlignment="1">
      <alignment vertical="top" wrapText="1"/>
    </xf>
    <xf numFmtId="4" fontId="10" fillId="0" borderId="20" xfId="0" applyNumberFormat="1" applyFont="1" applyFill="1" applyBorder="1" applyAlignment="1">
      <alignment horizontal="center" vertical="center" wrapText="1"/>
    </xf>
    <xf numFmtId="4" fontId="10" fillId="0" borderId="19" xfId="0" applyNumberFormat="1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top" wrapText="1"/>
    </xf>
    <xf numFmtId="0" fontId="10" fillId="0" borderId="28" xfId="0" applyFont="1" applyFill="1" applyBorder="1" applyAlignment="1">
      <alignment vertical="top" wrapText="1"/>
    </xf>
    <xf numFmtId="4" fontId="10" fillId="0" borderId="28" xfId="0" applyNumberFormat="1" applyFont="1" applyFill="1" applyBorder="1" applyAlignment="1">
      <alignment horizontal="center" vertical="center" wrapText="1"/>
    </xf>
    <xf numFmtId="4" fontId="10" fillId="0" borderId="26" xfId="0" applyNumberFormat="1" applyFont="1" applyFill="1" applyBorder="1" applyAlignment="1">
      <alignment horizontal="center" vertical="center" wrapText="1"/>
    </xf>
    <xf numFmtId="0" fontId="10" fillId="0" borderId="51" xfId="0" applyFont="1" applyFill="1" applyBorder="1" applyAlignment="1">
      <alignment/>
    </xf>
    <xf numFmtId="0" fontId="10" fillId="0" borderId="52" xfId="0" applyFont="1" applyFill="1" applyBorder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176" fontId="0" fillId="0" borderId="0" xfId="0" applyNumberFormat="1" applyFont="1" applyFill="1" applyAlignment="1">
      <alignment/>
    </xf>
    <xf numFmtId="1" fontId="0" fillId="0" borderId="48" xfId="0" applyNumberFormat="1" applyBorder="1" applyAlignment="1">
      <alignment horizontal="right" vertical="top"/>
    </xf>
    <xf numFmtId="4" fontId="0" fillId="0" borderId="48" xfId="0" applyNumberFormat="1" applyBorder="1" applyAlignment="1">
      <alignment horizontal="right" vertical="top"/>
    </xf>
    <xf numFmtId="0" fontId="59" fillId="0" borderId="0" xfId="0" applyFont="1" applyAlignment="1">
      <alignment horizontal="left" vertical="top"/>
    </xf>
    <xf numFmtId="0" fontId="24" fillId="0" borderId="48" xfId="0" applyFont="1" applyBorder="1" applyAlignment="1">
      <alignment horizontal="left" vertical="top" wrapText="1"/>
    </xf>
    <xf numFmtId="0" fontId="25" fillId="0" borderId="49" xfId="0" applyFont="1" applyBorder="1" applyAlignment="1">
      <alignment horizontal="right" vertical="top"/>
    </xf>
    <xf numFmtId="0" fontId="25" fillId="0" borderId="50" xfId="0" applyFont="1" applyBorder="1" applyAlignment="1">
      <alignment horizontal="right" vertical="top"/>
    </xf>
    <xf numFmtId="1" fontId="25" fillId="0" borderId="48" xfId="0" applyNumberFormat="1" applyFont="1" applyBorder="1" applyAlignment="1">
      <alignment horizontal="right" vertical="top"/>
    </xf>
    <xf numFmtId="3" fontId="25" fillId="0" borderId="48" xfId="0" applyNumberFormat="1" applyFont="1" applyBorder="1" applyAlignment="1">
      <alignment horizontal="right" vertical="top"/>
    </xf>
    <xf numFmtId="4" fontId="25" fillId="0" borderId="48" xfId="0" applyNumberFormat="1" applyFont="1" applyBorder="1" applyAlignment="1">
      <alignment horizontal="right" vertical="top"/>
    </xf>
    <xf numFmtId="0" fontId="25" fillId="0" borderId="48" xfId="0" applyFont="1" applyBorder="1" applyAlignment="1">
      <alignment horizontal="right" vertical="top"/>
    </xf>
    <xf numFmtId="0" fontId="24" fillId="0" borderId="49" xfId="0" applyFont="1" applyBorder="1" applyAlignment="1">
      <alignment horizontal="right" vertical="top"/>
    </xf>
    <xf numFmtId="0" fontId="24" fillId="0" borderId="50" xfId="0" applyFont="1" applyBorder="1" applyAlignment="1">
      <alignment horizontal="right" vertical="top"/>
    </xf>
    <xf numFmtId="1" fontId="24" fillId="0" borderId="48" xfId="0" applyNumberFormat="1" applyFont="1" applyBorder="1" applyAlignment="1">
      <alignment horizontal="right" vertical="top"/>
    </xf>
    <xf numFmtId="3" fontId="24" fillId="0" borderId="48" xfId="0" applyNumberFormat="1" applyFont="1" applyBorder="1" applyAlignment="1">
      <alignment horizontal="right" vertical="top"/>
    </xf>
    <xf numFmtId="4" fontId="24" fillId="0" borderId="48" xfId="0" applyNumberFormat="1" applyFont="1" applyBorder="1" applyAlignment="1">
      <alignment horizontal="right" vertical="top"/>
    </xf>
    <xf numFmtId="0" fontId="24" fillId="0" borderId="48" xfId="0" applyFont="1" applyBorder="1" applyAlignment="1">
      <alignment horizontal="right" vertical="top"/>
    </xf>
    <xf numFmtId="0" fontId="15" fillId="0" borderId="0" xfId="0" applyNumberFormat="1" applyFont="1" applyAlignment="1">
      <alignment vertical="top" wrapText="1"/>
    </xf>
    <xf numFmtId="0" fontId="16" fillId="33" borderId="41" xfId="0" applyNumberFormat="1" applyFont="1" applyFill="1" applyBorder="1" applyAlignment="1">
      <alignment horizontal="right" vertical="top" wrapText="1"/>
    </xf>
    <xf numFmtId="4" fontId="16" fillId="33" borderId="41" xfId="0" applyNumberFormat="1" applyFont="1" applyFill="1" applyBorder="1" applyAlignment="1">
      <alignment horizontal="right" vertical="top" wrapText="1"/>
    </xf>
    <xf numFmtId="0" fontId="16" fillId="33" borderId="42" xfId="0" applyNumberFormat="1" applyFont="1" applyFill="1" applyBorder="1" applyAlignment="1">
      <alignment horizontal="right" vertical="top" wrapText="1"/>
    </xf>
    <xf numFmtId="0" fontId="16" fillId="33" borderId="43" xfId="0" applyNumberFormat="1" applyFont="1" applyFill="1" applyBorder="1" applyAlignment="1">
      <alignment horizontal="right" vertical="top" wrapText="1"/>
    </xf>
    <xf numFmtId="0" fontId="18" fillId="0" borderId="41" xfId="0" applyNumberFormat="1" applyFont="1" applyBorder="1" applyAlignment="1">
      <alignment horizontal="right" vertical="top" wrapText="1"/>
    </xf>
    <xf numFmtId="4" fontId="18" fillId="0" borderId="41" xfId="0" applyNumberFormat="1" applyFont="1" applyBorder="1" applyAlignment="1">
      <alignment horizontal="right" vertical="top" wrapText="1"/>
    </xf>
    <xf numFmtId="0" fontId="18" fillId="0" borderId="42" xfId="0" applyNumberFormat="1" applyFont="1" applyBorder="1" applyAlignment="1">
      <alignment horizontal="right" vertical="top" wrapText="1"/>
    </xf>
    <xf numFmtId="0" fontId="18" fillId="0" borderId="43" xfId="0" applyNumberFormat="1" applyFont="1" applyBorder="1" applyAlignment="1">
      <alignment horizontal="right" vertical="top" wrapText="1"/>
    </xf>
    <xf numFmtId="2" fontId="18" fillId="0" borderId="41" xfId="0" applyNumberFormat="1" applyFont="1" applyBorder="1" applyAlignment="1">
      <alignment horizontal="right" vertical="top" wrapText="1"/>
    </xf>
    <xf numFmtId="0" fontId="19" fillId="34" borderId="44" xfId="0" applyNumberFormat="1" applyFont="1" applyFill="1" applyBorder="1" applyAlignment="1">
      <alignment horizontal="right" vertical="top" wrapText="1"/>
    </xf>
    <xf numFmtId="4" fontId="19" fillId="34" borderId="44" xfId="0" applyNumberFormat="1" applyFont="1" applyFill="1" applyBorder="1" applyAlignment="1">
      <alignment horizontal="right" vertical="top" wrapText="1"/>
    </xf>
    <xf numFmtId="0" fontId="19" fillId="34" borderId="45" xfId="0" applyNumberFormat="1" applyFont="1" applyFill="1" applyBorder="1" applyAlignment="1">
      <alignment horizontal="right" vertical="top" wrapText="1"/>
    </xf>
    <xf numFmtId="0" fontId="19" fillId="34" borderId="46" xfId="0" applyNumberFormat="1" applyFont="1" applyFill="1" applyBorder="1" applyAlignment="1">
      <alignment horizontal="right" vertical="top" wrapText="1"/>
    </xf>
    <xf numFmtId="2" fontId="18" fillId="36" borderId="41" xfId="0" applyNumberFormat="1" applyFont="1" applyFill="1" applyBorder="1" applyAlignment="1">
      <alignment horizontal="right" vertical="top" wrapText="1"/>
    </xf>
    <xf numFmtId="4" fontId="18" fillId="36" borderId="41" xfId="0" applyNumberFormat="1" applyFont="1" applyFill="1" applyBorder="1" applyAlignment="1">
      <alignment horizontal="right" vertical="top" wrapText="1"/>
    </xf>
    <xf numFmtId="4" fontId="18" fillId="39" borderId="41" xfId="0" applyNumberFormat="1" applyFont="1" applyFill="1" applyBorder="1" applyAlignment="1">
      <alignment horizontal="right" vertical="top" wrapText="1"/>
    </xf>
    <xf numFmtId="2" fontId="18" fillId="39" borderId="41" xfId="0" applyNumberFormat="1" applyFont="1" applyFill="1" applyBorder="1" applyAlignment="1">
      <alignment horizontal="right" vertical="top" wrapText="1"/>
    </xf>
    <xf numFmtId="2" fontId="18" fillId="37" borderId="41" xfId="0" applyNumberFormat="1" applyFont="1" applyFill="1" applyBorder="1" applyAlignment="1">
      <alignment horizontal="right" vertical="top" wrapText="1"/>
    </xf>
    <xf numFmtId="4" fontId="18" fillId="37" borderId="41" xfId="0" applyNumberFormat="1" applyFont="1" applyFill="1" applyBorder="1" applyAlignment="1">
      <alignment horizontal="right" vertical="top" wrapText="1"/>
    </xf>
    <xf numFmtId="4" fontId="18" fillId="42" borderId="41" xfId="0" applyNumberFormat="1" applyFont="1" applyFill="1" applyBorder="1" applyAlignment="1">
      <alignment horizontal="right" vertical="top" wrapText="1"/>
    </xf>
    <xf numFmtId="2" fontId="18" fillId="42" borderId="41" xfId="0" applyNumberFormat="1" applyFont="1" applyFill="1" applyBorder="1" applyAlignment="1">
      <alignment horizontal="right" vertical="top" wrapText="1"/>
    </xf>
    <xf numFmtId="49" fontId="10" fillId="0" borderId="20" xfId="0" applyNumberFormat="1" applyFont="1" applyFill="1" applyBorder="1" applyAlignment="1">
      <alignment/>
    </xf>
    <xf numFmtId="0" fontId="10" fillId="0" borderId="20" xfId="0" applyFont="1" applyFill="1" applyBorder="1" applyAlignment="1">
      <alignment wrapText="1"/>
    </xf>
    <xf numFmtId="4" fontId="10" fillId="0" borderId="0" xfId="0" applyNumberFormat="1" applyFont="1" applyFill="1" applyAlignment="1">
      <alignment/>
    </xf>
    <xf numFmtId="4" fontId="10" fillId="0" borderId="20" xfId="0" applyNumberFormat="1" applyFont="1" applyFill="1" applyBorder="1" applyAlignment="1">
      <alignment/>
    </xf>
    <xf numFmtId="4" fontId="2" fillId="0" borderId="19" xfId="0" applyNumberFormat="1" applyFont="1" applyFill="1" applyBorder="1" applyAlignment="1">
      <alignment horizontal="center" vertical="center" wrapText="1"/>
    </xf>
    <xf numFmtId="4" fontId="2" fillId="0" borderId="22" xfId="0" applyNumberFormat="1" applyFont="1" applyFill="1" applyBorder="1" applyAlignment="1">
      <alignment horizontal="center" vertical="center" wrapText="1"/>
    </xf>
    <xf numFmtId="4" fontId="5" fillId="0" borderId="15" xfId="0" applyNumberFormat="1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justify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4" fontId="2" fillId="0" borderId="53" xfId="0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/>
    </xf>
    <xf numFmtId="0" fontId="9" fillId="0" borderId="57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0" xfId="0" applyFont="1" applyBorder="1" applyAlignment="1">
      <alignment horizontal="center" wrapText="1"/>
    </xf>
    <xf numFmtId="0" fontId="9" fillId="0" borderId="24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5" fillId="0" borderId="0" xfId="0" applyFont="1" applyFill="1" applyAlignment="1">
      <alignment horizontal="center" vertical="justify"/>
    </xf>
    <xf numFmtId="0" fontId="5" fillId="0" borderId="0" xfId="0" applyFont="1" applyFill="1" applyAlignment="1">
      <alignment horizontal="center" vertical="justify"/>
    </xf>
    <xf numFmtId="0" fontId="10" fillId="0" borderId="14" xfId="0" applyFont="1" applyFill="1" applyBorder="1" applyAlignment="1">
      <alignment horizontal="center" vertical="top" wrapText="1"/>
    </xf>
    <xf numFmtId="0" fontId="10" fillId="0" borderId="18" xfId="0" applyFont="1" applyFill="1" applyBorder="1" applyAlignment="1">
      <alignment horizontal="center" vertical="top" wrapText="1"/>
    </xf>
    <xf numFmtId="0" fontId="10" fillId="0" borderId="17" xfId="0" applyFont="1" applyFill="1" applyBorder="1" applyAlignment="1">
      <alignment horizontal="center" vertical="top" wrapText="1"/>
    </xf>
    <xf numFmtId="0" fontId="10" fillId="0" borderId="20" xfId="0" applyFont="1" applyFill="1" applyBorder="1" applyAlignment="1">
      <alignment horizontal="center" vertical="top" wrapText="1"/>
    </xf>
    <xf numFmtId="0" fontId="10" fillId="0" borderId="58" xfId="0" applyFont="1" applyFill="1" applyBorder="1" applyAlignment="1">
      <alignment horizontal="center" vertical="top" wrapText="1"/>
    </xf>
    <xf numFmtId="0" fontId="10" fillId="0" borderId="55" xfId="0" applyFont="1" applyFill="1" applyBorder="1" applyAlignment="1">
      <alignment horizontal="center" vertical="top" wrapText="1"/>
    </xf>
    <xf numFmtId="0" fontId="10" fillId="0" borderId="21" xfId="0" applyFont="1" applyFill="1" applyBorder="1" applyAlignment="1">
      <alignment horizontal="center" vertical="top" wrapText="1"/>
    </xf>
    <xf numFmtId="0" fontId="10" fillId="0" borderId="19" xfId="0" applyFont="1" applyFill="1" applyBorder="1" applyAlignment="1">
      <alignment horizontal="center" vertical="top" wrapText="1"/>
    </xf>
    <xf numFmtId="0" fontId="10" fillId="0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8" fillId="0" borderId="41" xfId="0" applyNumberFormat="1" applyFont="1" applyBorder="1" applyAlignment="1">
      <alignment vertical="top" wrapText="1" indent="1"/>
    </xf>
    <xf numFmtId="0" fontId="19" fillId="34" borderId="44" xfId="0" applyNumberFormat="1" applyFont="1" applyFill="1" applyBorder="1" applyAlignment="1">
      <alignment vertical="top"/>
    </xf>
    <xf numFmtId="0" fontId="17" fillId="34" borderId="59" xfId="0" applyNumberFormat="1" applyFont="1" applyFill="1" applyBorder="1" applyAlignment="1">
      <alignment horizontal="center" vertical="top"/>
    </xf>
    <xf numFmtId="0" fontId="17" fillId="34" borderId="60" xfId="0" applyNumberFormat="1" applyFont="1" applyFill="1" applyBorder="1" applyAlignment="1">
      <alignment horizontal="center" vertical="top"/>
    </xf>
    <xf numFmtId="0" fontId="17" fillId="34" borderId="61" xfId="0" applyNumberFormat="1" applyFont="1" applyFill="1" applyBorder="1" applyAlignment="1">
      <alignment horizontal="center" vertical="top"/>
    </xf>
    <xf numFmtId="0" fontId="16" fillId="33" borderId="41" xfId="0" applyNumberFormat="1" applyFont="1" applyFill="1" applyBorder="1" applyAlignment="1">
      <alignment vertical="top" wrapText="1"/>
    </xf>
    <xf numFmtId="0" fontId="16" fillId="34" borderId="59" xfId="0" applyNumberFormat="1" applyFont="1" applyFill="1" applyBorder="1" applyAlignment="1">
      <alignment vertical="top" wrapText="1"/>
    </xf>
    <xf numFmtId="0" fontId="16" fillId="34" borderId="60" xfId="0" applyNumberFormat="1" applyFont="1" applyFill="1" applyBorder="1" applyAlignment="1">
      <alignment vertical="top" wrapText="1"/>
    </xf>
    <xf numFmtId="0" fontId="16" fillId="34" borderId="61" xfId="0" applyNumberFormat="1" applyFont="1" applyFill="1" applyBorder="1" applyAlignment="1">
      <alignment vertical="top" wrapText="1"/>
    </xf>
    <xf numFmtId="0" fontId="17" fillId="34" borderId="62" xfId="0" applyNumberFormat="1" applyFont="1" applyFill="1" applyBorder="1" applyAlignment="1">
      <alignment horizontal="center" vertical="top"/>
    </xf>
    <xf numFmtId="0" fontId="13" fillId="0" borderId="0" xfId="0" applyNumberFormat="1" applyFont="1" applyAlignment="1">
      <alignment wrapText="1"/>
    </xf>
    <xf numFmtId="0" fontId="14" fillId="0" borderId="0" xfId="0" applyNumberFormat="1" applyFont="1" applyAlignment="1">
      <alignment wrapText="1"/>
    </xf>
    <xf numFmtId="0" fontId="15" fillId="0" borderId="0" xfId="0" applyNumberFormat="1" applyFont="1" applyAlignment="1">
      <alignment vertical="top" wrapText="1"/>
    </xf>
    <xf numFmtId="0" fontId="16" fillId="34" borderId="44" xfId="0" applyNumberFormat="1" applyFont="1" applyFill="1" applyBorder="1" applyAlignment="1">
      <alignment vertical="top" wrapText="1"/>
    </xf>
    <xf numFmtId="0" fontId="17" fillId="34" borderId="44" xfId="0" applyNumberFormat="1" applyFont="1" applyFill="1" applyBorder="1" applyAlignment="1">
      <alignment horizontal="center" vertical="top"/>
    </xf>
    <xf numFmtId="0" fontId="0" fillId="0" borderId="48" xfId="0" applyBorder="1" applyAlignment="1">
      <alignment horizontal="left" vertical="top" wrapText="1"/>
    </xf>
    <xf numFmtId="1" fontId="0" fillId="0" borderId="48" xfId="0" applyNumberFormat="1" applyBorder="1" applyAlignment="1">
      <alignment horizontal="right" vertical="top"/>
    </xf>
    <xf numFmtId="0" fontId="24" fillId="0" borderId="48" xfId="0" applyFont="1" applyBorder="1" applyAlignment="1">
      <alignment horizontal="left" vertical="top"/>
    </xf>
    <xf numFmtId="1" fontId="24" fillId="0" borderId="48" xfId="0" applyNumberFormat="1" applyFont="1" applyBorder="1" applyAlignment="1">
      <alignment horizontal="right" vertical="top"/>
    </xf>
    <xf numFmtId="4" fontId="24" fillId="0" borderId="48" xfId="0" applyNumberFormat="1" applyFont="1" applyBorder="1" applyAlignment="1">
      <alignment horizontal="right" vertical="top"/>
    </xf>
    <xf numFmtId="4" fontId="0" fillId="0" borderId="48" xfId="0" applyNumberFormat="1" applyBorder="1" applyAlignment="1">
      <alignment horizontal="right" vertical="top"/>
    </xf>
    <xf numFmtId="0" fontId="25" fillId="0" borderId="48" xfId="0" applyFont="1" applyBorder="1" applyAlignment="1">
      <alignment horizontal="left" vertical="top" wrapText="1"/>
    </xf>
    <xf numFmtId="1" fontId="25" fillId="0" borderId="48" xfId="0" applyNumberFormat="1" applyFont="1" applyBorder="1" applyAlignment="1">
      <alignment horizontal="right" vertical="top"/>
    </xf>
    <xf numFmtId="4" fontId="25" fillId="0" borderId="48" xfId="0" applyNumberFormat="1" applyFont="1" applyBorder="1" applyAlignment="1">
      <alignment horizontal="right" vertical="top"/>
    </xf>
    <xf numFmtId="0" fontId="24" fillId="0" borderId="63" xfId="0" applyFont="1" applyBorder="1" applyAlignment="1">
      <alignment horizontal="left" vertical="top" wrapText="1"/>
    </xf>
    <xf numFmtId="0" fontId="24" fillId="0" borderId="64" xfId="0" applyFont="1" applyBorder="1" applyAlignment="1">
      <alignment horizontal="left" vertical="top" wrapText="1"/>
    </xf>
    <xf numFmtId="0" fontId="13" fillId="0" borderId="63" xfId="0" applyFont="1" applyBorder="1" applyAlignment="1">
      <alignment horizontal="left" vertical="top" wrapText="1"/>
    </xf>
    <xf numFmtId="0" fontId="13" fillId="0" borderId="64" xfId="0" applyFont="1" applyBorder="1" applyAlignment="1">
      <alignment horizontal="left" vertical="top" wrapText="1"/>
    </xf>
    <xf numFmtId="0" fontId="24" fillId="0" borderId="48" xfId="0" applyFont="1" applyBorder="1" applyAlignment="1">
      <alignment horizontal="left" vertical="top" wrapText="1"/>
    </xf>
    <xf numFmtId="0" fontId="23" fillId="0" borderId="0" xfId="0" applyFont="1" applyAlignment="1">
      <alignment horizontal="left" vertical="top" wrapText="1"/>
    </xf>
    <xf numFmtId="0" fontId="13" fillId="0" borderId="65" xfId="0" applyFont="1" applyBorder="1" applyAlignment="1">
      <alignment horizontal="left" vertical="top" wrapText="1"/>
    </xf>
    <xf numFmtId="0" fontId="13" fillId="0" borderId="66" xfId="0" applyFont="1" applyBorder="1" applyAlignment="1">
      <alignment horizontal="left" vertical="top" wrapText="1"/>
    </xf>
    <xf numFmtId="0" fontId="13" fillId="0" borderId="48" xfId="0" applyFont="1" applyBorder="1" applyAlignment="1">
      <alignment horizontal="left" vertical="top" wrapText="1"/>
    </xf>
    <xf numFmtId="0" fontId="24" fillId="0" borderId="65" xfId="0" applyFont="1" applyBorder="1" applyAlignment="1">
      <alignment horizontal="left" vertical="top" wrapText="1"/>
    </xf>
    <xf numFmtId="0" fontId="24" fillId="0" borderId="66" xfId="0" applyFont="1" applyBorder="1" applyAlignment="1">
      <alignment horizontal="left" vertical="top" wrapText="1"/>
    </xf>
    <xf numFmtId="0" fontId="18" fillId="0" borderId="41" xfId="0" applyNumberFormat="1" applyFont="1" applyBorder="1" applyAlignment="1">
      <alignment vertical="top" wrapText="1" indent="1"/>
    </xf>
    <xf numFmtId="0" fontId="19" fillId="34" borderId="44" xfId="0" applyNumberFormat="1" applyFont="1" applyFill="1" applyBorder="1" applyAlignment="1">
      <alignment vertical="top"/>
    </xf>
    <xf numFmtId="0" fontId="17" fillId="34" borderId="59" xfId="0" applyNumberFormat="1" applyFont="1" applyFill="1" applyBorder="1" applyAlignment="1">
      <alignment horizontal="center" vertical="top"/>
    </xf>
    <xf numFmtId="0" fontId="17" fillId="34" borderId="60" xfId="0" applyNumberFormat="1" applyFont="1" applyFill="1" applyBorder="1" applyAlignment="1">
      <alignment horizontal="center" vertical="top"/>
    </xf>
    <xf numFmtId="0" fontId="17" fillId="34" borderId="61" xfId="0" applyNumberFormat="1" applyFont="1" applyFill="1" applyBorder="1" applyAlignment="1">
      <alignment horizontal="center" vertical="top"/>
    </xf>
    <xf numFmtId="0" fontId="16" fillId="33" borderId="41" xfId="0" applyNumberFormat="1" applyFont="1" applyFill="1" applyBorder="1" applyAlignment="1">
      <alignment vertical="top" wrapText="1"/>
    </xf>
    <xf numFmtId="0" fontId="16" fillId="34" borderId="59" xfId="0" applyNumberFormat="1" applyFont="1" applyFill="1" applyBorder="1" applyAlignment="1">
      <alignment vertical="top" wrapText="1"/>
    </xf>
    <xf numFmtId="0" fontId="16" fillId="34" borderId="60" xfId="0" applyNumberFormat="1" applyFont="1" applyFill="1" applyBorder="1" applyAlignment="1">
      <alignment vertical="top" wrapText="1"/>
    </xf>
    <xf numFmtId="0" fontId="16" fillId="34" borderId="61" xfId="0" applyNumberFormat="1" applyFont="1" applyFill="1" applyBorder="1" applyAlignment="1">
      <alignment vertical="top" wrapText="1"/>
    </xf>
    <xf numFmtId="0" fontId="17" fillId="34" borderId="62" xfId="0" applyNumberFormat="1" applyFont="1" applyFill="1" applyBorder="1" applyAlignment="1">
      <alignment horizontal="center" vertical="top"/>
    </xf>
    <xf numFmtId="0" fontId="13" fillId="0" borderId="0" xfId="0" applyNumberFormat="1" applyFont="1" applyAlignment="1">
      <alignment wrapText="1"/>
    </xf>
    <xf numFmtId="0" fontId="14" fillId="0" borderId="0" xfId="0" applyNumberFormat="1" applyFont="1" applyAlignment="1">
      <alignment wrapText="1"/>
    </xf>
    <xf numFmtId="0" fontId="15" fillId="0" borderId="0" xfId="0" applyNumberFormat="1" applyFont="1" applyAlignment="1">
      <alignment vertical="top" wrapText="1"/>
    </xf>
    <xf numFmtId="0" fontId="16" fillId="34" borderId="44" xfId="0" applyNumberFormat="1" applyFont="1" applyFill="1" applyBorder="1" applyAlignment="1">
      <alignment vertical="top" wrapText="1"/>
    </xf>
    <xf numFmtId="0" fontId="17" fillId="34" borderId="44" xfId="0" applyNumberFormat="1" applyFont="1" applyFill="1" applyBorder="1" applyAlignment="1">
      <alignment horizontal="center" vertical="top"/>
    </xf>
    <xf numFmtId="2" fontId="0" fillId="0" borderId="48" xfId="0" applyNumberFormat="1" applyBorder="1" applyAlignment="1">
      <alignment horizontal="right" vertical="top"/>
    </xf>
    <xf numFmtId="0" fontId="25" fillId="0" borderId="48" xfId="0" applyFont="1" applyBorder="1" applyAlignment="1">
      <alignment horizontal="left" vertical="top"/>
    </xf>
    <xf numFmtId="1" fontId="24" fillId="0" borderId="48" xfId="0" applyNumberFormat="1" applyFont="1" applyBorder="1" applyAlignment="1">
      <alignment horizontal="right" vertical="top"/>
    </xf>
    <xf numFmtId="2" fontId="24" fillId="0" borderId="48" xfId="0" applyNumberFormat="1" applyFont="1" applyBorder="1" applyAlignment="1">
      <alignment horizontal="right" vertical="top"/>
    </xf>
    <xf numFmtId="0" fontId="24" fillId="0" borderId="48" xfId="0" applyFont="1" applyBorder="1" applyAlignment="1">
      <alignment horizontal="left" vertical="top" wrapText="1"/>
    </xf>
    <xf numFmtId="0" fontId="25" fillId="0" borderId="48" xfId="0" applyFont="1" applyBorder="1" applyAlignment="1">
      <alignment horizontal="left" vertical="top" wrapText="1"/>
    </xf>
    <xf numFmtId="1" fontId="25" fillId="0" borderId="48" xfId="0" applyNumberFormat="1" applyFont="1" applyBorder="1" applyAlignment="1">
      <alignment horizontal="right" vertical="top"/>
    </xf>
    <xf numFmtId="2" fontId="25" fillId="0" borderId="48" xfId="0" applyNumberFormat="1" applyFont="1" applyBorder="1" applyAlignment="1">
      <alignment horizontal="right" vertical="top"/>
    </xf>
    <xf numFmtId="0" fontId="13" fillId="0" borderId="63" xfId="0" applyFont="1" applyBorder="1" applyAlignment="1">
      <alignment horizontal="left" vertical="top" wrapText="1"/>
    </xf>
    <xf numFmtId="0" fontId="13" fillId="0" borderId="64" xfId="0" applyFont="1" applyBorder="1" applyAlignment="1">
      <alignment horizontal="left" vertical="top" wrapText="1"/>
    </xf>
    <xf numFmtId="0" fontId="24" fillId="0" borderId="63" xfId="0" applyFont="1" applyBorder="1" applyAlignment="1">
      <alignment horizontal="left" vertical="top" wrapText="1"/>
    </xf>
    <xf numFmtId="0" fontId="24" fillId="0" borderId="64" xfId="0" applyFont="1" applyBorder="1" applyAlignment="1">
      <alignment horizontal="left" vertical="top" wrapText="1"/>
    </xf>
    <xf numFmtId="0" fontId="23" fillId="0" borderId="0" xfId="0" applyFont="1" applyAlignment="1">
      <alignment horizontal="left" vertical="top" wrapText="1"/>
    </xf>
    <xf numFmtId="0" fontId="13" fillId="0" borderId="65" xfId="0" applyFont="1" applyBorder="1" applyAlignment="1">
      <alignment horizontal="left" vertical="top" wrapText="1"/>
    </xf>
    <xf numFmtId="0" fontId="13" fillId="0" borderId="66" xfId="0" applyFont="1" applyBorder="1" applyAlignment="1">
      <alignment horizontal="left" vertical="top" wrapText="1"/>
    </xf>
    <xf numFmtId="0" fontId="13" fillId="0" borderId="48" xfId="0" applyFont="1" applyBorder="1" applyAlignment="1">
      <alignment horizontal="left" vertical="top" wrapText="1"/>
    </xf>
    <xf numFmtId="0" fontId="24" fillId="0" borderId="65" xfId="0" applyFont="1" applyBorder="1" applyAlignment="1">
      <alignment horizontal="left" vertical="top" wrapText="1"/>
    </xf>
    <xf numFmtId="0" fontId="24" fillId="0" borderId="66" xfId="0" applyFont="1" applyBorder="1" applyAlignment="1">
      <alignment horizontal="left" vertical="top" wrapText="1"/>
    </xf>
    <xf numFmtId="0" fontId="18" fillId="0" borderId="41" xfId="0" applyNumberFormat="1" applyFont="1" applyBorder="1" applyAlignment="1">
      <alignment vertical="top" wrapText="1" indent="1"/>
    </xf>
    <xf numFmtId="0" fontId="16" fillId="34" borderId="59" xfId="0" applyNumberFormat="1" applyFont="1" applyFill="1" applyBorder="1" applyAlignment="1">
      <alignment vertical="top" wrapText="1"/>
    </xf>
    <xf numFmtId="0" fontId="16" fillId="34" borderId="60" xfId="0" applyNumberFormat="1" applyFont="1" applyFill="1" applyBorder="1" applyAlignment="1">
      <alignment vertical="top" wrapText="1"/>
    </xf>
    <xf numFmtId="0" fontId="16" fillId="34" borderId="61" xfId="0" applyNumberFormat="1" applyFont="1" applyFill="1" applyBorder="1" applyAlignment="1">
      <alignment vertical="top" wrapText="1"/>
    </xf>
    <xf numFmtId="0" fontId="17" fillId="34" borderId="59" xfId="0" applyNumberFormat="1" applyFont="1" applyFill="1" applyBorder="1" applyAlignment="1">
      <alignment horizontal="center" vertical="top"/>
    </xf>
    <xf numFmtId="0" fontId="17" fillId="34" borderId="62" xfId="0" applyNumberFormat="1" applyFont="1" applyFill="1" applyBorder="1" applyAlignment="1">
      <alignment horizontal="center" vertical="top"/>
    </xf>
    <xf numFmtId="0" fontId="16" fillId="34" borderId="44" xfId="0" applyNumberFormat="1" applyFont="1" applyFill="1" applyBorder="1" applyAlignment="1">
      <alignment vertical="top" wrapText="1"/>
    </xf>
    <xf numFmtId="0" fontId="17" fillId="34" borderId="44" xfId="0" applyNumberFormat="1" applyFont="1" applyFill="1" applyBorder="1" applyAlignment="1">
      <alignment horizontal="center" vertical="top"/>
    </xf>
    <xf numFmtId="0" fontId="13" fillId="0" borderId="0" xfId="0" applyNumberFormat="1" applyFont="1" applyAlignment="1">
      <alignment wrapText="1"/>
    </xf>
    <xf numFmtId="0" fontId="14" fillId="0" borderId="0" xfId="0" applyNumberFormat="1" applyFont="1" applyAlignment="1">
      <alignment wrapText="1"/>
    </xf>
    <xf numFmtId="0" fontId="15" fillId="0" borderId="0" xfId="0" applyNumberFormat="1" applyFont="1" applyAlignment="1">
      <alignment vertical="top" wrapText="1"/>
    </xf>
    <xf numFmtId="0" fontId="17" fillId="34" borderId="60" xfId="0" applyNumberFormat="1" applyFont="1" applyFill="1" applyBorder="1" applyAlignment="1">
      <alignment horizontal="center" vertical="top"/>
    </xf>
    <xf numFmtId="0" fontId="17" fillId="34" borderId="61" xfId="0" applyNumberFormat="1" applyFont="1" applyFill="1" applyBorder="1" applyAlignment="1">
      <alignment horizontal="center" vertical="top"/>
    </xf>
    <xf numFmtId="0" fontId="16" fillId="33" borderId="41" xfId="0" applyNumberFormat="1" applyFont="1" applyFill="1" applyBorder="1" applyAlignment="1">
      <alignment vertical="top" wrapText="1"/>
    </xf>
    <xf numFmtId="0" fontId="19" fillId="34" borderId="44" xfId="0" applyNumberFormat="1" applyFont="1" applyFill="1" applyBorder="1" applyAlignment="1">
      <alignment vertical="top"/>
    </xf>
    <xf numFmtId="0" fontId="9" fillId="0" borderId="67" xfId="0" applyFont="1" applyBorder="1" applyAlignment="1">
      <alignment horizontal="center"/>
    </xf>
    <xf numFmtId="0" fontId="9" fillId="0" borderId="54" xfId="0" applyFont="1" applyBorder="1" applyAlignment="1">
      <alignment horizontal="center"/>
    </xf>
    <xf numFmtId="0" fontId="9" fillId="0" borderId="55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49" fontId="10" fillId="0" borderId="20" xfId="0" applyNumberFormat="1" applyFont="1" applyBorder="1" applyAlignment="1">
      <alignment/>
    </xf>
    <xf numFmtId="0" fontId="0" fillId="0" borderId="20" xfId="0" applyBorder="1" applyAlignment="1">
      <alignment/>
    </xf>
    <xf numFmtId="49" fontId="10" fillId="0" borderId="20" xfId="0" applyNumberFormat="1" applyFont="1" applyFill="1" applyBorder="1" applyAlignment="1">
      <alignment/>
    </xf>
    <xf numFmtId="0" fontId="0" fillId="0" borderId="20" xfId="0" applyFill="1" applyBorder="1" applyAlignment="1">
      <alignment/>
    </xf>
    <xf numFmtId="0" fontId="60" fillId="0" borderId="18" xfId="0" applyFont="1" applyFill="1" applyBorder="1" applyAlignment="1">
      <alignment horizontal="right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justify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1" xfId="0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2" xfId="53"/>
    <cellStyle name="Обычный 2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externalLink" Target="externalLinks/externalLink1.xml" /><Relationship Id="rId32" Type="http://schemas.openxmlformats.org/officeDocument/2006/relationships/externalLink" Target="externalLinks/externalLink2.xml" /><Relationship Id="rId33" Type="http://schemas.openxmlformats.org/officeDocument/2006/relationships/externalLink" Target="externalLinks/externalLink3.xml" /><Relationship Id="rId34" Type="http://schemas.openxmlformats.org/officeDocument/2006/relationships/externalLink" Target="externalLinks/externalLink4.xml" /><Relationship Id="rId35" Type="http://schemas.openxmlformats.org/officeDocument/2006/relationships/externalLink" Target="externalLinks/externalLink5.xml" /><Relationship Id="rId36" Type="http://schemas.openxmlformats.org/officeDocument/2006/relationships/externalLink" Target="externalLinks/externalLink6.xml" /><Relationship Id="rId37" Type="http://schemas.openxmlformats.org/officeDocument/2006/relationships/externalLink" Target="externalLinks/externalLink7.xml" /><Relationship Id="rId38" Type="http://schemas.openxmlformats.org/officeDocument/2006/relationships/externalLink" Target="externalLinks/externalLink8.xml" /><Relationship Id="rId39" Type="http://schemas.openxmlformats.org/officeDocument/2006/relationships/externalLink" Target="externalLinks/externalLink9.xml" /><Relationship Id="rId4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WIN_TED\projects\&#1048;&#1089;&#1089;&#1083;&#1077;&#1076;&#1086;&#1074;&#1072;&#1085;&#1080;&#1103;%20&#1087;&#1086;%20&#1101;&#1083;&#1077;&#1082;&#1090;&#1088;&#1086;&#1101;&#1085;&#1077;&#1088;&#1075;&#1077;&#1090;&#1080;&#1082;&#1077;\&#1069;&#1085;&#1077;&#1088;&#1075;&#1086;&#1073;&#1072;&#1083;&#1072;&#1085;&#1089;\2005-&#1055;&#1088;&#1086;&#1075;&#1085;&#1086;&#1079;&#1085;&#1099;&#1081;%20&#1073;&#1072;&#1083;&#1072;&#1085;&#1089;\&#1060;&#1080;&#1085;&#1072;&#1085;&#1089;&#1099;\&#1048;&#1055;-&#1058;&#1055;%20&#1080;%20&#1053;&#1057;-&#1084;&#1072;&#1082;&#10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arfenovms\AppData\Local\Microsoft\Windows\Temporary%20Internet%20Files\Content.IE5\XQ1XVJXR\Users\Pytkin_AD.MRSK-C\AppData\Local\Microsoft\Windows\Temporary%20Internet%20Files\Content.Outlook\KXZI8PVK\&#1041;&#1040;&#1047;&#1040;%20&#1041;&#1088;&#1103;&#1085;&#1089;&#1082;%20(&#1088;&#1072;&#1079;&#1073;&#1083;&#1086;&#1082;.)_&#1092;&#1072;&#1082;&#1090;%202010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arfenovms\AppData\Local\Microsoft\Windows\Temporary%20Internet%20Files\Content.IE5\XQ1XVJXR\Users\User\Downloads\&#1060;&#1086;&#1088;&#1084;&#1072;&#1090;%20&#1055;&#1088;&#1080;&#1083;&#1086;&#1078;&#1077;&#1085;&#1080;&#1077;%20&#8470;26%20&#1089;&#1082;&#1086;&#1088;&#1088;&#1077;&#1082;&#1090;&#1080;&#1088;&#1086;&#1074;&#1072;&#1085;%2019%2006%202012%20(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ekachevaaa\Desktop\&#1054;&#1090;&#1095;&#1077;&#1090;&#1099;\2019\&#1056;&#1072;&#1089;&#1093;&#1086;&#1076;&#1099;%20&#1087;&#1086;%20&#1058;&#1055;_2019%20&#1075;&#1086;&#1076;-1%20&#1089;%20&#1086;&#1073;&#1097;&#1077;&#1093;&#1086;&#1079;.&#1079;&#1072;&#1090;&#1088;&#1072;&#1090;&#1072;&#1084;&#1080;%20-%20&#1082;&#1086;&#1087;&#1080;&#1103;-1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%20&#1074;&#1099;&#1087;&#1072;&#1076;&#1072;&#1102;&#1097;&#1080;&#1093;_2021%20&#1075;&#1086;&#1076;%20(&#1056;&#1043;&#1069;&#1057;)_&#1087;&#1086;%20&#1085;&#1086;&#1074;&#1099;&#1084;%20&#1092;&#1086;&#1088;&#1084;&#1072;&#1084;_25.09.2020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_&#1058;&#1047;_&#1087;&#1086;_&#1058;&#1055;_2021_&#1087;&#1088;&#1080;&#1084;&#1077;&#1088;-1%20&#1082;&#1086;&#1087;&#1080;&#1103;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6;&#1087;&#1080;&#1103;%20&#1056;&#1072;&#1089;&#1095;&#1077;&#1090;_&#1058;&#1047;_&#1087;&#1086;_&#1058;&#1055;_2021_20.10.2021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_&#1058;&#1047;_&#1087;&#1086;_&#1058;&#1055;_2021_20.10.2021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&#1047;&#1072;&#1087;&#1088;&#1086;&#1089;_&#1087;&#1086;_&#1058;&#1055;%20(1)%2020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Табл.3"/>
      <sheetName val="Табл.2"/>
      <sheetName val="Табл.1"/>
      <sheetName val="Результаты"/>
      <sheetName val="параметры"/>
      <sheetName val="MAIN"/>
      <sheetName val="Sales&amp;Costs"/>
      <sheetName val="Список ИП"/>
      <sheetName val="Цены и тарифы"/>
      <sheetName val="Working Capital"/>
      <sheetName val="Debt Service"/>
      <sheetName val="Profit"/>
      <sheetName val="Cash Flow"/>
      <sheetName val="Fin.Ratios"/>
      <sheetName val="Net Cash Flow (I)"/>
      <sheetName val="Net Cash Flow (II) "/>
      <sheetName val="Budget"/>
      <sheetName val="MD1"/>
      <sheetName val="MD2"/>
      <sheetName val="CST"/>
      <sheetName val="GOC"/>
      <sheetName val="PR"/>
      <sheetName val="KR"/>
      <sheetName val="REP"/>
      <sheetName val="PRN"/>
      <sheetName val="GOT"/>
      <sheetName val="SAL"/>
      <sheetName val="FXA"/>
      <sheetName val="SE1"/>
      <sheetName val="SE2"/>
      <sheetName val="Модуль2"/>
      <sheetName val="Модуль1"/>
      <sheetName val="Модуль3"/>
      <sheetName val="Модуль4"/>
      <sheetName val="Модуль5"/>
      <sheetName val="перекрестка"/>
      <sheetName val="16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примечания"/>
      <sheetName val="ДАТА"/>
      <sheetName val="Лист1"/>
    </sheetNames>
    <sheetDataSet>
      <sheetData sheetId="6">
        <row r="2">
          <cell r="AJ2">
            <v>2034</v>
          </cell>
        </row>
        <row r="3">
          <cell r="AJ3" t="str">
            <v>30 год</v>
          </cell>
        </row>
        <row r="13">
          <cell r="A13" t="str">
            <v>Цт=максимальные</v>
          </cell>
          <cell r="B13" t="str">
            <v>Цт=максимальные Постоянные цены</v>
          </cell>
          <cell r="F13" t="str">
            <v>АЛЬТ-Инвест™ 3.0</v>
          </cell>
        </row>
        <row r="14">
          <cell r="A14" t="str">
            <v>ОБЩИЕ ДАННЫЕ</v>
          </cell>
          <cell r="B14" t="str">
            <v>GENERAL INFORMATION</v>
          </cell>
        </row>
        <row r="16">
          <cell r="A16" t="str">
            <v>Длительность интервала планирования (ИП)</v>
          </cell>
          <cell r="B16" t="str">
            <v>Duration of the planning interval (PI)</v>
          </cell>
          <cell r="D16" t="str">
            <v>дни</v>
          </cell>
          <cell r="F16">
            <v>360</v>
          </cell>
        </row>
        <row r="17">
          <cell r="A17" t="str">
            <v>Срок жизни проекта</v>
          </cell>
          <cell r="B17" t="str">
            <v>Project lifetime</v>
          </cell>
          <cell r="D17" t="str">
            <v>год</v>
          </cell>
          <cell r="F17">
            <v>30</v>
          </cell>
        </row>
        <row r="18">
          <cell r="A18" t="str">
            <v>Дата начала проекта</v>
          </cell>
          <cell r="B18" t="str">
            <v>Date started of the project</v>
          </cell>
          <cell r="F18" t="str">
            <v>"0"</v>
          </cell>
        </row>
        <row r="20">
          <cell r="A20" t="str">
            <v>Местная валюта (основное наименование)</v>
          </cell>
          <cell r="B20" t="str">
            <v>Local currency (basic name)</v>
          </cell>
          <cell r="F20" t="str">
            <v>тыс.руб.</v>
          </cell>
        </row>
        <row r="21">
          <cell r="A21" t="str">
            <v>Местная валюта (дополнительное наименование)</v>
          </cell>
          <cell r="B21" t="str">
            <v>Local currency (auxiliary name)</v>
          </cell>
          <cell r="F21" t="str">
            <v>руб.</v>
          </cell>
        </row>
        <row r="22">
          <cell r="A22" t="str">
            <v>Множитель пересчета местной валюты из дополнительной в основную</v>
          </cell>
          <cell r="B22" t="str">
            <v>Factor for local currency (from auxiliary to basic)</v>
          </cell>
          <cell r="F22">
            <v>1000</v>
          </cell>
        </row>
        <row r="24">
          <cell r="A24" t="str">
            <v>Иностранная валюта  (основное наименование)</v>
          </cell>
          <cell r="B24" t="str">
            <v>Foreign currency (basic name)</v>
          </cell>
          <cell r="F24" t="str">
            <v>тыс.долл.</v>
          </cell>
        </row>
        <row r="25">
          <cell r="A25" t="str">
            <v>Иностранная валюта (дополнительное наименование)</v>
          </cell>
          <cell r="B25" t="str">
            <v>Foreign currency (auxiliary name)</v>
          </cell>
          <cell r="F25" t="str">
            <v>долл.</v>
          </cell>
        </row>
        <row r="26">
          <cell r="A26" t="str">
            <v>Множитель пересчета иностранной валюты из дополнительной в основную</v>
          </cell>
          <cell r="B26" t="str">
            <v>Factor for foreign currency (from auxiliary to basic)</v>
          </cell>
          <cell r="F26">
            <v>1000</v>
          </cell>
        </row>
        <row r="27">
          <cell r="A27" t="str">
            <v>Установленная мощность электростанции </v>
          </cell>
          <cell r="D27" t="str">
            <v>тыс.кВт</v>
          </cell>
          <cell r="F27">
            <v>30</v>
          </cell>
        </row>
        <row r="28">
          <cell r="A28" t="str">
            <v>Валюта итогов</v>
          </cell>
          <cell r="B28" t="str">
            <v>Currency of total results</v>
          </cell>
          <cell r="C28" t="str">
            <v> Местная</v>
          </cell>
          <cell r="F28">
            <v>1</v>
          </cell>
        </row>
        <row r="29">
          <cell r="A29" t="str">
            <v>Метод расчета</v>
          </cell>
          <cell r="B29" t="str">
            <v>Method of calculations</v>
          </cell>
          <cell r="C29" t="str">
            <v> Постоянные цены</v>
          </cell>
          <cell r="F29">
            <v>1</v>
          </cell>
        </row>
        <row r="33">
          <cell r="A33" t="str">
            <v>Цт=максимальные Постоянные цены</v>
          </cell>
          <cell r="B33" t="str">
            <v>Цт=максимальные Постоянные цены</v>
          </cell>
          <cell r="AK33" t="str">
            <v>АЛЬТ-Инвест™ 3.0</v>
          </cell>
        </row>
        <row r="34">
          <cell r="A34" t="str">
            <v>МАКРОЭКОНОМИЧЕСКОЕ ОКРУЖЕНИЕ</v>
          </cell>
          <cell r="B34" t="str">
            <v>MACROECONOMIC ENVIRONMENT</v>
          </cell>
          <cell r="F34" t="str">
            <v>"0"</v>
          </cell>
          <cell r="G34" t="str">
            <v>1 год</v>
          </cell>
          <cell r="H34" t="str">
            <v>2 год</v>
          </cell>
          <cell r="I34" t="str">
            <v>3 год</v>
          </cell>
          <cell r="J34" t="str">
            <v>4 год</v>
          </cell>
          <cell r="K34" t="str">
            <v>5 год</v>
          </cell>
          <cell r="L34" t="str">
            <v>6 год</v>
          </cell>
          <cell r="M34" t="str">
            <v>7 год</v>
          </cell>
          <cell r="N34" t="str">
            <v>8 год</v>
          </cell>
          <cell r="O34" t="str">
            <v>9 год</v>
          </cell>
          <cell r="P34" t="str">
            <v>10 год</v>
          </cell>
          <cell r="Q34" t="str">
            <v>11 год</v>
          </cell>
          <cell r="R34" t="str">
            <v>12 год</v>
          </cell>
          <cell r="S34" t="str">
            <v>13 год</v>
          </cell>
          <cell r="T34" t="str">
            <v>14 год</v>
          </cell>
          <cell r="U34" t="str">
            <v>15 год</v>
          </cell>
          <cell r="V34" t="str">
            <v>16 год</v>
          </cell>
          <cell r="W34" t="str">
            <v>17 год</v>
          </cell>
          <cell r="X34" t="str">
            <v>18 год</v>
          </cell>
          <cell r="Y34" t="str">
            <v>19 год</v>
          </cell>
          <cell r="Z34" t="str">
            <v>20 год</v>
          </cell>
          <cell r="AA34" t="str">
            <v>21 год</v>
          </cell>
          <cell r="AB34" t="str">
            <v>22 год</v>
          </cell>
          <cell r="AC34" t="str">
            <v>23 год</v>
          </cell>
          <cell r="AD34" t="str">
            <v>24 год</v>
          </cell>
          <cell r="AE34" t="str">
            <v>25 год</v>
          </cell>
          <cell r="AF34" t="str">
            <v>26 год</v>
          </cell>
          <cell r="AG34" t="str">
            <v>27 год</v>
          </cell>
          <cell r="AH34" t="str">
            <v>28 год</v>
          </cell>
          <cell r="AI34" t="str">
            <v>29 год</v>
          </cell>
          <cell r="AJ34" t="str">
            <v>30 год</v>
          </cell>
        </row>
        <row r="36">
          <cell r="A36" t="str">
            <v>Предполагаемый ежемесячный темп внутренней</v>
          </cell>
          <cell r="B36" t="str">
            <v>Supposed monthly internal</v>
          </cell>
        </row>
        <row r="37">
          <cell r="A37" t="str">
            <v> инфляции местной валюты</v>
          </cell>
          <cell r="B37" t="str">
            <v> inflation rate of local currency</v>
          </cell>
          <cell r="D37" t="str">
            <v>%</v>
          </cell>
          <cell r="E37" t="str">
            <v>on_end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То же , в пересчете на год</v>
          </cell>
          <cell r="B38" t="str">
            <v>The same, calculated to yearly rate</v>
          </cell>
          <cell r="D38" t="str">
            <v>%</v>
          </cell>
          <cell r="E38" t="str">
            <v>on_end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40">
          <cell r="A40" t="str">
            <v>Предполагаемый ежемесячный темп роста</v>
          </cell>
          <cell r="B40" t="str">
            <v>Supposed monthly growth of</v>
          </cell>
          <cell r="E40" t="str">
            <v>on_end</v>
          </cell>
        </row>
        <row r="41">
          <cell r="A41" t="str">
            <v> обменного курса иностранной валюты</v>
          </cell>
          <cell r="B41" t="str">
            <v> exchange rate of foreign currency</v>
          </cell>
          <cell r="D41" t="str">
            <v>%</v>
          </cell>
          <cell r="E41" t="str">
            <v>on_end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42" t="str">
            <v>Обменный курс иностранной валюты</v>
          </cell>
          <cell r="B42" t="str">
            <v>Exchange rates for foreign currency</v>
          </cell>
          <cell r="D42" t="str">
            <v>руб. за 1 долл.</v>
          </cell>
          <cell r="E42" t="str">
            <v>on_end</v>
          </cell>
          <cell r="F42">
            <v>1</v>
          </cell>
          <cell r="G42">
            <v>1</v>
          </cell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Y42">
            <v>1</v>
          </cell>
          <cell r="Z42">
            <v>1</v>
          </cell>
          <cell r="AA42">
            <v>1</v>
          </cell>
          <cell r="AB42">
            <v>1</v>
          </cell>
          <cell r="AC42">
            <v>1</v>
          </cell>
          <cell r="AD42">
            <v>1</v>
          </cell>
          <cell r="AE42">
            <v>1</v>
          </cell>
          <cell r="AF42">
            <v>1</v>
          </cell>
          <cell r="AG42">
            <v>1</v>
          </cell>
          <cell r="AH42">
            <v>1</v>
          </cell>
          <cell r="AI42">
            <v>1</v>
          </cell>
          <cell r="AJ42">
            <v>1</v>
          </cell>
        </row>
        <row r="44">
          <cell r="A44" t="str">
            <v>Предполагаемый ежегодный темп внешней</v>
          </cell>
          <cell r="B44" t="str">
            <v>Supposed yearly external</v>
          </cell>
          <cell r="E44" t="str">
            <v>on_end</v>
          </cell>
        </row>
        <row r="45">
          <cell r="A45" t="str">
            <v> инфляции иностранной валюты</v>
          </cell>
          <cell r="B45" t="str">
            <v> inflation rate of foregn currency</v>
          </cell>
          <cell r="D45" t="str">
            <v>%</v>
          </cell>
          <cell r="E45" t="str">
            <v>on_end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A46" t="str">
            <v>То же, в пересчете на месяц</v>
          </cell>
          <cell r="B46" t="str">
            <v>The same, calculated to monthly rate</v>
          </cell>
          <cell r="D46" t="str">
            <v>%</v>
          </cell>
          <cell r="E46" t="str">
            <v>on_end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  <row r="48">
          <cell r="A48" t="str">
            <v>Эквивалентный ежемесячный темп</v>
          </cell>
          <cell r="B48" t="str">
            <v>Equivalent monthly internal</v>
          </cell>
        </row>
        <row r="49">
          <cell r="A49" t="str">
            <v> внутренней инфляции иностранной валюты</v>
          </cell>
          <cell r="B49" t="str">
            <v> inflation rate of foreign currency</v>
          </cell>
          <cell r="D49" t="str">
            <v>%</v>
          </cell>
          <cell r="E49" t="str">
            <v>on_end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</row>
        <row r="50">
          <cell r="A50" t="str">
            <v>То же, в пересчете на год</v>
          </cell>
          <cell r="B50" t="str">
            <v>The same, calculated to yearly rate</v>
          </cell>
          <cell r="D50" t="str">
            <v>%</v>
          </cell>
          <cell r="E50" t="str">
            <v>on_end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</row>
        <row r="52">
          <cell r="A52" t="str">
            <v>Ставка рефинансирования ЦБ РФ</v>
          </cell>
          <cell r="B52" t="str">
            <v>The Central bank of Russia rate of re-financing</v>
          </cell>
          <cell r="D52" t="str">
            <v>%</v>
          </cell>
          <cell r="E52" t="str">
            <v>on_end</v>
          </cell>
          <cell r="F52">
            <v>0.13</v>
          </cell>
          <cell r="G52">
            <v>0.13</v>
          </cell>
          <cell r="H52">
            <v>0.13</v>
          </cell>
          <cell r="I52">
            <v>0.13</v>
          </cell>
          <cell r="J52">
            <v>0.13</v>
          </cell>
          <cell r="K52">
            <v>0.13</v>
          </cell>
          <cell r="L52">
            <v>0.13</v>
          </cell>
          <cell r="M52">
            <v>0.13</v>
          </cell>
          <cell r="N52">
            <v>0.13</v>
          </cell>
          <cell r="O52">
            <v>0.13</v>
          </cell>
          <cell r="P52">
            <v>0.13</v>
          </cell>
          <cell r="Q52">
            <v>0.13</v>
          </cell>
          <cell r="R52">
            <v>0.13</v>
          </cell>
          <cell r="S52">
            <v>0.13</v>
          </cell>
          <cell r="T52">
            <v>0.13</v>
          </cell>
          <cell r="U52">
            <v>0.13</v>
          </cell>
          <cell r="V52">
            <v>0.13</v>
          </cell>
          <cell r="W52">
            <v>0.13</v>
          </cell>
          <cell r="X52">
            <v>0.13</v>
          </cell>
          <cell r="Y52">
            <v>0.13</v>
          </cell>
          <cell r="Z52">
            <v>0.13</v>
          </cell>
          <cell r="AA52">
            <v>0.13</v>
          </cell>
          <cell r="AB52">
            <v>0.13</v>
          </cell>
          <cell r="AC52">
            <v>0.13</v>
          </cell>
          <cell r="AD52">
            <v>0.13</v>
          </cell>
          <cell r="AE52">
            <v>0.13</v>
          </cell>
          <cell r="AF52">
            <v>0.13</v>
          </cell>
          <cell r="AG52">
            <v>0.13</v>
          </cell>
          <cell r="AH52">
            <v>0.13</v>
          </cell>
          <cell r="AI52">
            <v>0.13</v>
          </cell>
          <cell r="AJ52">
            <v>0.13</v>
          </cell>
        </row>
        <row r="53">
          <cell r="A53" t="str">
            <v>Ставка процентов, включаемых в себестоимость</v>
          </cell>
          <cell r="B53" t="str">
            <v>Tax-free rate of interest</v>
          </cell>
        </row>
        <row r="54">
          <cell r="A54" t="str">
            <v> (местная валюта)</v>
          </cell>
          <cell r="B54" t="str">
            <v> (local currency)</v>
          </cell>
          <cell r="D54" t="str">
            <v>%</v>
          </cell>
          <cell r="E54" t="str">
            <v>on_end</v>
          </cell>
          <cell r="F54">
            <v>0.16</v>
          </cell>
          <cell r="G54">
            <v>0.16</v>
          </cell>
          <cell r="H54">
            <v>0.16</v>
          </cell>
          <cell r="I54">
            <v>0.16</v>
          </cell>
          <cell r="J54">
            <v>0.16</v>
          </cell>
          <cell r="K54">
            <v>0.16</v>
          </cell>
          <cell r="L54">
            <v>0.16</v>
          </cell>
          <cell r="M54">
            <v>0.16</v>
          </cell>
          <cell r="N54">
            <v>0.16</v>
          </cell>
          <cell r="O54">
            <v>0.16</v>
          </cell>
          <cell r="P54">
            <v>0.16</v>
          </cell>
          <cell r="Q54">
            <v>0.16</v>
          </cell>
          <cell r="R54">
            <v>0.16</v>
          </cell>
          <cell r="S54">
            <v>0.16</v>
          </cell>
          <cell r="T54">
            <v>0.16</v>
          </cell>
          <cell r="U54">
            <v>0.16</v>
          </cell>
          <cell r="V54">
            <v>0.16</v>
          </cell>
          <cell r="W54">
            <v>0.16</v>
          </cell>
          <cell r="X54">
            <v>0.16</v>
          </cell>
          <cell r="Y54">
            <v>0.16</v>
          </cell>
          <cell r="Z54">
            <v>0.16</v>
          </cell>
          <cell r="AA54">
            <v>0.16</v>
          </cell>
          <cell r="AB54">
            <v>0.16</v>
          </cell>
          <cell r="AC54">
            <v>0.16</v>
          </cell>
          <cell r="AD54">
            <v>0.16</v>
          </cell>
          <cell r="AE54">
            <v>0.16</v>
          </cell>
          <cell r="AF54">
            <v>0.16</v>
          </cell>
          <cell r="AG54">
            <v>0.16</v>
          </cell>
          <cell r="AH54">
            <v>0.16</v>
          </cell>
          <cell r="AI54">
            <v>0.16</v>
          </cell>
          <cell r="AJ54">
            <v>0.16</v>
          </cell>
        </row>
        <row r="55">
          <cell r="C55">
            <v>0</v>
          </cell>
        </row>
        <row r="56">
          <cell r="A56" t="str">
            <v>Ставка LIBOR</v>
          </cell>
          <cell r="B56" t="str">
            <v>London InterBank Offered Rate</v>
          </cell>
          <cell r="D56" t="str">
            <v>%</v>
          </cell>
          <cell r="E56" t="str">
            <v>on_end</v>
          </cell>
          <cell r="F56">
            <v>0.035</v>
          </cell>
          <cell r="G56">
            <v>0.035</v>
          </cell>
          <cell r="H56">
            <v>0.035</v>
          </cell>
          <cell r="I56">
            <v>0.035</v>
          </cell>
          <cell r="J56">
            <v>0.035</v>
          </cell>
          <cell r="K56">
            <v>0.035</v>
          </cell>
          <cell r="L56">
            <v>0.035</v>
          </cell>
          <cell r="M56">
            <v>0.035</v>
          </cell>
          <cell r="N56">
            <v>0.035</v>
          </cell>
          <cell r="O56">
            <v>0.035</v>
          </cell>
          <cell r="P56">
            <v>0.035</v>
          </cell>
          <cell r="Q56">
            <v>0.035</v>
          </cell>
          <cell r="R56">
            <v>0.035</v>
          </cell>
          <cell r="S56">
            <v>0.035</v>
          </cell>
          <cell r="T56">
            <v>0.035</v>
          </cell>
          <cell r="U56">
            <v>0.035</v>
          </cell>
          <cell r="V56">
            <v>0.035</v>
          </cell>
          <cell r="W56">
            <v>0.035</v>
          </cell>
          <cell r="X56">
            <v>0.035</v>
          </cell>
          <cell r="Y56">
            <v>0.035</v>
          </cell>
          <cell r="Z56">
            <v>0.035</v>
          </cell>
          <cell r="AA56">
            <v>0.035</v>
          </cell>
          <cell r="AB56">
            <v>0.035</v>
          </cell>
          <cell r="AC56">
            <v>0.035</v>
          </cell>
          <cell r="AD56">
            <v>0.035</v>
          </cell>
          <cell r="AE56">
            <v>0.035</v>
          </cell>
          <cell r="AF56">
            <v>0.035</v>
          </cell>
          <cell r="AG56">
            <v>0.035</v>
          </cell>
          <cell r="AH56">
            <v>0.035</v>
          </cell>
          <cell r="AI56">
            <v>0.035</v>
          </cell>
          <cell r="AJ56">
            <v>0.035</v>
          </cell>
        </row>
        <row r="57">
          <cell r="A57" t="str">
            <v>Ставка процентов, включаемых в себестоимость</v>
          </cell>
          <cell r="B57" t="str">
            <v>Tax-free rate of interest</v>
          </cell>
        </row>
        <row r="58">
          <cell r="A58" t="str">
            <v> (иностранная валюта)</v>
          </cell>
          <cell r="B58" t="str">
            <v> (foreign currency)</v>
          </cell>
          <cell r="D58" t="str">
            <v>%</v>
          </cell>
          <cell r="E58" t="str">
            <v>on_end</v>
          </cell>
          <cell r="F58">
            <v>0.065</v>
          </cell>
          <cell r="G58">
            <v>0.065</v>
          </cell>
          <cell r="H58">
            <v>0.065</v>
          </cell>
          <cell r="I58">
            <v>0.065</v>
          </cell>
          <cell r="J58">
            <v>0.065</v>
          </cell>
          <cell r="K58">
            <v>0.065</v>
          </cell>
          <cell r="L58">
            <v>0.065</v>
          </cell>
          <cell r="M58">
            <v>0.065</v>
          </cell>
          <cell r="N58">
            <v>0.065</v>
          </cell>
          <cell r="O58">
            <v>0.065</v>
          </cell>
          <cell r="P58">
            <v>0.065</v>
          </cell>
          <cell r="Q58">
            <v>0.065</v>
          </cell>
          <cell r="R58">
            <v>0.065</v>
          </cell>
          <cell r="S58">
            <v>0.065</v>
          </cell>
          <cell r="T58">
            <v>0.065</v>
          </cell>
          <cell r="U58">
            <v>0.065</v>
          </cell>
          <cell r="V58">
            <v>0.065</v>
          </cell>
          <cell r="W58">
            <v>0.065</v>
          </cell>
          <cell r="X58">
            <v>0.065</v>
          </cell>
          <cell r="Y58">
            <v>0.065</v>
          </cell>
          <cell r="Z58">
            <v>0.065</v>
          </cell>
          <cell r="AA58">
            <v>0.065</v>
          </cell>
          <cell r="AB58">
            <v>0.065</v>
          </cell>
          <cell r="AC58">
            <v>0.065</v>
          </cell>
          <cell r="AD58">
            <v>0.065</v>
          </cell>
          <cell r="AE58">
            <v>0.065</v>
          </cell>
          <cell r="AF58">
            <v>0.065</v>
          </cell>
          <cell r="AG58">
            <v>0.065</v>
          </cell>
          <cell r="AH58">
            <v>0.065</v>
          </cell>
          <cell r="AI58">
            <v>0.065</v>
          </cell>
          <cell r="AJ58">
            <v>0.065</v>
          </cell>
        </row>
        <row r="60">
          <cell r="C60">
            <v>0</v>
          </cell>
        </row>
        <row r="62">
          <cell r="A62" t="str">
            <v>Цт=максимальные Постоянные цены</v>
          </cell>
          <cell r="B62" t="str">
            <v>Цт=максимальные Постоянные цены</v>
          </cell>
          <cell r="AL62" t="str">
            <v>АЛЬТ-Инвест™ 3.0</v>
          </cell>
        </row>
        <row r="63">
          <cell r="A63" t="str">
            <v>ОБЪЕМ РЕАЛИЗАЦИИ</v>
          </cell>
          <cell r="B63" t="str">
            <v>PRODUCTION VOLUME</v>
          </cell>
          <cell r="F63" t="str">
            <v>"0"</v>
          </cell>
          <cell r="G63" t="str">
            <v>1 год</v>
          </cell>
          <cell r="H63" t="str">
            <v>2 год</v>
          </cell>
          <cell r="I63" t="str">
            <v>3 год</v>
          </cell>
          <cell r="J63" t="str">
            <v>4 год</v>
          </cell>
          <cell r="K63" t="str">
            <v>5 год</v>
          </cell>
          <cell r="L63" t="str">
            <v>6 год</v>
          </cell>
          <cell r="M63" t="str">
            <v>7 год</v>
          </cell>
          <cell r="N63" t="str">
            <v>8 год</v>
          </cell>
          <cell r="O63" t="str">
            <v>9 год</v>
          </cell>
          <cell r="P63" t="str">
            <v>10 год</v>
          </cell>
          <cell r="Q63" t="str">
            <v>11 год</v>
          </cell>
          <cell r="R63" t="str">
            <v>12 год</v>
          </cell>
          <cell r="S63" t="str">
            <v>13 год</v>
          </cell>
          <cell r="T63" t="str">
            <v>14 год</v>
          </cell>
          <cell r="U63" t="str">
            <v>15 год</v>
          </cell>
          <cell r="V63" t="str">
            <v>16 год</v>
          </cell>
          <cell r="W63" t="str">
            <v>17 год</v>
          </cell>
          <cell r="X63" t="str">
            <v>18 год</v>
          </cell>
          <cell r="Y63" t="str">
            <v>19 год</v>
          </cell>
          <cell r="Z63" t="str">
            <v>20 год</v>
          </cell>
          <cell r="AA63" t="str">
            <v>21 год</v>
          </cell>
          <cell r="AB63" t="str">
            <v>22 год</v>
          </cell>
          <cell r="AC63" t="str">
            <v>23 год</v>
          </cell>
          <cell r="AD63" t="str">
            <v>24 год</v>
          </cell>
          <cell r="AE63" t="str">
            <v>25 год</v>
          </cell>
          <cell r="AF63" t="str">
            <v>26 год</v>
          </cell>
          <cell r="AG63" t="str">
            <v>27 год</v>
          </cell>
          <cell r="AH63" t="str">
            <v>28 год</v>
          </cell>
          <cell r="AI63" t="str">
            <v>29 год</v>
          </cell>
          <cell r="AJ63" t="str">
            <v>30 год</v>
          </cell>
          <cell r="AL63" t="str">
            <v>ВСЕГО</v>
          </cell>
        </row>
        <row r="64">
          <cell r="A64" t="str">
            <v>Местная валюта</v>
          </cell>
          <cell r="B64" t="str">
            <v>Local currency</v>
          </cell>
        </row>
        <row r="65">
          <cell r="A65" t="str">
            <v>Электроэнергия</v>
          </cell>
          <cell r="B65" t="str">
            <v>Product name 1</v>
          </cell>
          <cell r="D65" t="str">
            <v>млн. кВт.-ч</v>
          </cell>
          <cell r="G65">
            <v>0</v>
          </cell>
          <cell r="H65">
            <v>113.5728</v>
          </cell>
          <cell r="I65">
            <v>113.5728</v>
          </cell>
          <cell r="J65">
            <v>113.5728</v>
          </cell>
          <cell r="K65">
            <v>113.5728</v>
          </cell>
          <cell r="L65">
            <v>113.5728</v>
          </cell>
          <cell r="M65">
            <v>113.5728</v>
          </cell>
          <cell r="N65">
            <v>113.5728</v>
          </cell>
          <cell r="O65">
            <v>113.5728</v>
          </cell>
          <cell r="P65">
            <v>113.5728</v>
          </cell>
          <cell r="Q65">
            <v>113.5728</v>
          </cell>
          <cell r="R65">
            <v>113.5728</v>
          </cell>
          <cell r="S65">
            <v>113.5728</v>
          </cell>
          <cell r="T65">
            <v>113.5728</v>
          </cell>
          <cell r="U65">
            <v>113.5728</v>
          </cell>
          <cell r="V65">
            <v>113.5728</v>
          </cell>
          <cell r="W65">
            <v>113.5728</v>
          </cell>
          <cell r="X65">
            <v>113.5728</v>
          </cell>
          <cell r="Y65">
            <v>113.5728</v>
          </cell>
          <cell r="Z65">
            <v>113.5728</v>
          </cell>
          <cell r="AA65">
            <v>113.5728</v>
          </cell>
          <cell r="AB65">
            <v>113.5728</v>
          </cell>
          <cell r="AC65">
            <v>113.5728</v>
          </cell>
          <cell r="AD65">
            <v>113.5728</v>
          </cell>
          <cell r="AE65">
            <v>113.5728</v>
          </cell>
          <cell r="AF65">
            <v>113.5728</v>
          </cell>
          <cell r="AG65">
            <v>113.5728</v>
          </cell>
          <cell r="AH65">
            <v>113.5728</v>
          </cell>
          <cell r="AI65">
            <v>113.5728</v>
          </cell>
          <cell r="AJ65">
            <v>113.5728</v>
          </cell>
          <cell r="AL65">
            <v>3293.6111999999985</v>
          </cell>
        </row>
        <row r="66">
          <cell r="A66" t="str">
            <v>Тепло</v>
          </cell>
          <cell r="D66" t="str">
            <v>тыс.Гкал</v>
          </cell>
          <cell r="G66">
            <v>0</v>
          </cell>
          <cell r="H66">
            <v>300.96</v>
          </cell>
          <cell r="I66">
            <v>300.96</v>
          </cell>
          <cell r="J66">
            <v>300.96</v>
          </cell>
          <cell r="K66">
            <v>300.96</v>
          </cell>
          <cell r="L66">
            <v>300.96</v>
          </cell>
          <cell r="M66">
            <v>300.96</v>
          </cell>
          <cell r="N66">
            <v>300.96</v>
          </cell>
          <cell r="O66">
            <v>300.96</v>
          </cell>
          <cell r="P66">
            <v>300.96</v>
          </cell>
          <cell r="Q66">
            <v>300.96</v>
          </cell>
          <cell r="R66">
            <v>300.96</v>
          </cell>
          <cell r="S66">
            <v>300.96</v>
          </cell>
          <cell r="T66">
            <v>300.96</v>
          </cell>
          <cell r="U66">
            <v>300.96</v>
          </cell>
          <cell r="V66">
            <v>300.96</v>
          </cell>
          <cell r="W66">
            <v>300.96</v>
          </cell>
          <cell r="X66">
            <v>300.96</v>
          </cell>
          <cell r="Y66">
            <v>300.96</v>
          </cell>
          <cell r="Z66">
            <v>300.96</v>
          </cell>
          <cell r="AA66">
            <v>300.96</v>
          </cell>
          <cell r="AB66">
            <v>300.96</v>
          </cell>
          <cell r="AC66">
            <v>300.96</v>
          </cell>
          <cell r="AD66">
            <v>300.96</v>
          </cell>
          <cell r="AE66">
            <v>300.96</v>
          </cell>
          <cell r="AF66">
            <v>300.96</v>
          </cell>
          <cell r="AG66">
            <v>300.96</v>
          </cell>
          <cell r="AH66">
            <v>300.96</v>
          </cell>
          <cell r="AI66">
            <v>300.96</v>
          </cell>
          <cell r="AJ66">
            <v>300.96</v>
          </cell>
          <cell r="AL66">
            <v>8727.839999999998</v>
          </cell>
        </row>
        <row r="67">
          <cell r="B67" t="str">
            <v>Foreign currency</v>
          </cell>
          <cell r="AL67">
            <v>0</v>
          </cell>
        </row>
        <row r="68">
          <cell r="A68" t="str">
            <v>Электроэнергия</v>
          </cell>
          <cell r="B68" t="str">
            <v>Product name 1</v>
          </cell>
          <cell r="D68" t="str">
            <v>ед.изм.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L68">
            <v>0</v>
          </cell>
        </row>
        <row r="69">
          <cell r="A69" t="str">
            <v>Дисконтированная выработка </v>
          </cell>
          <cell r="D69" t="str">
            <v>млн. кВт.-ч</v>
          </cell>
          <cell r="G69">
            <v>0</v>
          </cell>
          <cell r="H69">
            <v>85.87735349716448</v>
          </cell>
          <cell r="I69">
            <v>74.67595956275173</v>
          </cell>
          <cell r="J69">
            <v>64.93561701108845</v>
          </cell>
          <cell r="K69">
            <v>56.465753922685614</v>
          </cell>
          <cell r="L69">
            <v>49.10065558494402</v>
          </cell>
          <cell r="M69">
            <v>42.696222247777406</v>
          </cell>
          <cell r="N69">
            <v>37.12714978067601</v>
          </cell>
          <cell r="O69">
            <v>32.28447807015305</v>
          </cell>
          <cell r="P69">
            <v>28.073459191437436</v>
          </cell>
          <cell r="Q69">
            <v>24.411703644728206</v>
          </cell>
          <cell r="R69">
            <v>21.227568386720183</v>
          </cell>
          <cell r="S69">
            <v>18.458755118887115</v>
          </cell>
          <cell r="T69">
            <v>16.051091407727927</v>
          </cell>
          <cell r="U69">
            <v>13.957470789328635</v>
          </cell>
          <cell r="V69">
            <v>12.136931121155335</v>
          </cell>
          <cell r="W69">
            <v>10.553853148830727</v>
          </cell>
          <cell r="X69">
            <v>9.177263607678894</v>
          </cell>
          <cell r="Y69">
            <v>7.980229224068605</v>
          </cell>
          <cell r="Z69">
            <v>6.939329760059657</v>
          </cell>
          <cell r="AA69">
            <v>6.034199791356223</v>
          </cell>
          <cell r="AB69">
            <v>5.247130253353238</v>
          </cell>
          <cell r="AC69">
            <v>4.5627219594375985</v>
          </cell>
          <cell r="AD69">
            <v>3.9675843125544343</v>
          </cell>
          <cell r="AE69">
            <v>3.4500733152647256</v>
          </cell>
          <cell r="AF69">
            <v>3.0000637524041096</v>
          </cell>
          <cell r="AG69">
            <v>2.6087510890470518</v>
          </cell>
          <cell r="AH69">
            <v>2.268479207867002</v>
          </cell>
          <cell r="AI69">
            <v>1.9725906155365236</v>
          </cell>
          <cell r="AJ69">
            <v>1.7152961874230641</v>
          </cell>
          <cell r="AL69">
            <v>646.9577355621075</v>
          </cell>
        </row>
        <row r="72">
          <cell r="A72" t="str">
            <v>Цт=максимальные Постоянные цены</v>
          </cell>
          <cell r="B72" t="str">
            <v>Цт=максимальные Постоянные цены</v>
          </cell>
          <cell r="AK72" t="str">
            <v>АЛЬТ-Инвест™ 3.0</v>
          </cell>
        </row>
        <row r="73">
          <cell r="A73" t="str">
            <v>ОТПУСКНЫЕ ЦЕНЫ (БЕЗ НДС)</v>
          </cell>
          <cell r="B73" t="str">
            <v>SALES PRICES (VAT NOT INCLUDED)</v>
          </cell>
          <cell r="F73" t="str">
            <v>"0"</v>
          </cell>
          <cell r="G73" t="str">
            <v>1 год</v>
          </cell>
          <cell r="H73" t="str">
            <v>2 год</v>
          </cell>
          <cell r="I73" t="str">
            <v>3 год</v>
          </cell>
          <cell r="J73" t="str">
            <v>4 год</v>
          </cell>
          <cell r="K73" t="str">
            <v>5 год</v>
          </cell>
          <cell r="L73" t="str">
            <v>6 год</v>
          </cell>
          <cell r="M73" t="str">
            <v>7 год</v>
          </cell>
          <cell r="N73" t="str">
            <v>8 год</v>
          </cell>
          <cell r="O73" t="str">
            <v>9 год</v>
          </cell>
          <cell r="P73" t="str">
            <v>10 год</v>
          </cell>
          <cell r="Q73" t="str">
            <v>11 год</v>
          </cell>
          <cell r="R73" t="str">
            <v>12 год</v>
          </cell>
          <cell r="S73" t="str">
            <v>13 год</v>
          </cell>
          <cell r="T73" t="str">
            <v>14 год</v>
          </cell>
          <cell r="U73" t="str">
            <v>15 год</v>
          </cell>
          <cell r="V73" t="str">
            <v>16 год</v>
          </cell>
          <cell r="W73" t="str">
            <v>17 год</v>
          </cell>
          <cell r="X73" t="str">
            <v>18 год</v>
          </cell>
          <cell r="Y73" t="str">
            <v>19 год</v>
          </cell>
          <cell r="Z73" t="str">
            <v>20 год</v>
          </cell>
          <cell r="AA73" t="str">
            <v>21 год</v>
          </cell>
          <cell r="AB73" t="str">
            <v>22 год</v>
          </cell>
          <cell r="AC73" t="str">
            <v>23 год</v>
          </cell>
          <cell r="AD73" t="str">
            <v>24 год</v>
          </cell>
          <cell r="AE73" t="str">
            <v>25 год</v>
          </cell>
          <cell r="AF73" t="str">
            <v>26 год</v>
          </cell>
          <cell r="AG73" t="str">
            <v>27 год</v>
          </cell>
          <cell r="AH73" t="str">
            <v>28 год</v>
          </cell>
          <cell r="AI73" t="str">
            <v>29 год</v>
          </cell>
          <cell r="AJ73" t="str">
            <v>30 год</v>
          </cell>
        </row>
        <row r="74">
          <cell r="A74" t="str">
            <v>Местная валюта</v>
          </cell>
          <cell r="B74" t="str">
            <v>Local currency</v>
          </cell>
        </row>
        <row r="75">
          <cell r="A75" t="str">
            <v>Электроэнергия</v>
          </cell>
          <cell r="B75" t="str">
            <v> inflation rate of foregn currency</v>
          </cell>
          <cell r="C75" t="str">
            <v>руб./%</v>
          </cell>
          <cell r="E75" t="str">
            <v>on_end</v>
          </cell>
          <cell r="G75">
            <v>550000</v>
          </cell>
          <cell r="H75">
            <v>622000</v>
          </cell>
          <cell r="I75">
            <v>694000</v>
          </cell>
          <cell r="J75">
            <v>815333.3333333334</v>
          </cell>
          <cell r="K75">
            <v>936666.6666666666</v>
          </cell>
          <cell r="L75">
            <v>1058000</v>
          </cell>
          <cell r="M75">
            <v>1170400</v>
          </cell>
          <cell r="N75">
            <v>1282800</v>
          </cell>
          <cell r="O75">
            <v>1395200</v>
          </cell>
          <cell r="P75">
            <v>1507600.0000000002</v>
          </cell>
          <cell r="Q75">
            <v>1620000</v>
          </cell>
          <cell r="R75">
            <v>1737400</v>
          </cell>
          <cell r="S75">
            <v>1854800.0000000002</v>
          </cell>
          <cell r="T75">
            <v>1972200.0000000002</v>
          </cell>
          <cell r="U75">
            <v>2089600.0000000005</v>
          </cell>
          <cell r="V75">
            <v>2089600.0000000005</v>
          </cell>
          <cell r="W75">
            <v>2089600.0000000005</v>
          </cell>
          <cell r="X75">
            <v>2089600.0000000005</v>
          </cell>
          <cell r="Y75">
            <v>2089600.0000000005</v>
          </cell>
          <cell r="Z75">
            <v>2089600.0000000005</v>
          </cell>
          <cell r="AA75">
            <v>2089600.0000000005</v>
          </cell>
          <cell r="AB75">
            <v>2089600.0000000005</v>
          </cell>
          <cell r="AC75">
            <v>2089600.0000000005</v>
          </cell>
          <cell r="AD75">
            <v>2089600.0000000005</v>
          </cell>
          <cell r="AE75">
            <v>2089600.0000000005</v>
          </cell>
          <cell r="AF75">
            <v>2089600.0000000005</v>
          </cell>
          <cell r="AG75">
            <v>2089600.0000000005</v>
          </cell>
          <cell r="AH75">
            <v>2089600.0000000005</v>
          </cell>
          <cell r="AI75">
            <v>2089600.0000000005</v>
          </cell>
          <cell r="AJ75">
            <v>2089600.0000000005</v>
          </cell>
        </row>
        <row r="76">
          <cell r="A76" t="str">
            <v>Тепло</v>
          </cell>
          <cell r="C76" t="str">
            <v>руб/тыс.Гкал</v>
          </cell>
          <cell r="G76">
            <v>261000</v>
          </cell>
          <cell r="H76">
            <v>325545.3563714902</v>
          </cell>
          <cell r="I76">
            <v>390090.71274298057</v>
          </cell>
          <cell r="J76">
            <v>456890.92872570193</v>
          </cell>
          <cell r="K76">
            <v>523691.1447084233</v>
          </cell>
          <cell r="L76">
            <v>590491.3606911447</v>
          </cell>
          <cell r="M76">
            <v>636885.0971922246</v>
          </cell>
          <cell r="N76">
            <v>683278.8336933046</v>
          </cell>
          <cell r="O76">
            <v>729672.5701943845</v>
          </cell>
          <cell r="P76">
            <v>776066.3066954645</v>
          </cell>
          <cell r="Q76">
            <v>822460.0431965443</v>
          </cell>
          <cell r="R76">
            <v>876689.4168466522</v>
          </cell>
          <cell r="S76">
            <v>930918.7904967602</v>
          </cell>
          <cell r="T76">
            <v>985148.1641468682</v>
          </cell>
          <cell r="U76">
            <v>1039377.5377969759</v>
          </cell>
          <cell r="V76">
            <v>1039377.5377969759</v>
          </cell>
          <cell r="W76">
            <v>1039377.5377969759</v>
          </cell>
          <cell r="X76">
            <v>1039377.5377969759</v>
          </cell>
          <cell r="Y76">
            <v>1039377.5377969759</v>
          </cell>
          <cell r="Z76">
            <v>1039377.5377969759</v>
          </cell>
          <cell r="AA76">
            <v>1039377.5377969759</v>
          </cell>
          <cell r="AB76">
            <v>1039377.5377969759</v>
          </cell>
          <cell r="AC76">
            <v>1039377.5377969759</v>
          </cell>
          <cell r="AD76">
            <v>1039377.5377969759</v>
          </cell>
          <cell r="AE76">
            <v>1039377.5377969759</v>
          </cell>
          <cell r="AF76">
            <v>1039377.5377969759</v>
          </cell>
          <cell r="AG76">
            <v>1039377.5377969759</v>
          </cell>
          <cell r="AH76">
            <v>1039377.5377969759</v>
          </cell>
          <cell r="AI76">
            <v>1039377.5377969759</v>
          </cell>
          <cell r="AJ76">
            <v>1039377.5377969759</v>
          </cell>
        </row>
        <row r="77">
          <cell r="A77" t="str">
            <v>Иностранная валюта</v>
          </cell>
          <cell r="B77" t="str">
            <v>Foreign currency</v>
          </cell>
        </row>
        <row r="78">
          <cell r="A78" t="str">
            <v>Электроэнергия</v>
          </cell>
          <cell r="B78" t="str">
            <v>Product name 1</v>
          </cell>
          <cell r="C78" t="str">
            <v>долл./ед.изм.</v>
          </cell>
          <cell r="E78" t="str">
            <v>on_end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82">
          <cell r="B82" t="str">
            <v>Цт=максимальные Постоянные цены</v>
          </cell>
          <cell r="AL82" t="str">
            <v>АЛЬТ-Инвест™ 3.0</v>
          </cell>
        </row>
        <row r="83">
          <cell r="A83" t="str">
            <v>ВЫРУЧКА ОТ РЕАЛИЗАЦИИ </v>
          </cell>
          <cell r="B83" t="str">
            <v>SALES REVENUES</v>
          </cell>
          <cell r="C83" t="str">
            <v>НДС</v>
          </cell>
          <cell r="D83" t="str">
            <v>Эксп.пошл.</v>
          </cell>
          <cell r="F83" t="str">
            <v>"0"</v>
          </cell>
          <cell r="G83" t="str">
            <v>1 год</v>
          </cell>
          <cell r="H83" t="str">
            <v>2 год</v>
          </cell>
          <cell r="I83" t="str">
            <v>3 год</v>
          </cell>
          <cell r="J83" t="str">
            <v>4 год</v>
          </cell>
          <cell r="K83" t="str">
            <v>5 год</v>
          </cell>
          <cell r="L83" t="str">
            <v>6 год</v>
          </cell>
          <cell r="M83" t="str">
            <v>7 год</v>
          </cell>
          <cell r="N83" t="str">
            <v>8 год</v>
          </cell>
          <cell r="O83" t="str">
            <v>9 год</v>
          </cell>
          <cell r="P83" t="str">
            <v>10 год</v>
          </cell>
          <cell r="Q83" t="str">
            <v>11 год</v>
          </cell>
          <cell r="R83" t="str">
            <v>12 год</v>
          </cell>
          <cell r="S83" t="str">
            <v>13 год</v>
          </cell>
          <cell r="T83" t="str">
            <v>14 год</v>
          </cell>
          <cell r="U83" t="str">
            <v>15 год</v>
          </cell>
          <cell r="V83" t="str">
            <v>16 год</v>
          </cell>
          <cell r="W83" t="str">
            <v>17 год</v>
          </cell>
          <cell r="X83" t="str">
            <v>18 год</v>
          </cell>
          <cell r="Y83" t="str">
            <v>19 год</v>
          </cell>
          <cell r="Z83" t="str">
            <v>20 год</v>
          </cell>
          <cell r="AA83" t="str">
            <v>21 год</v>
          </cell>
          <cell r="AB83" t="str">
            <v>22 год</v>
          </cell>
          <cell r="AC83" t="str">
            <v>23 год</v>
          </cell>
          <cell r="AD83" t="str">
            <v>24 год</v>
          </cell>
          <cell r="AE83" t="str">
            <v>25 год</v>
          </cell>
          <cell r="AF83" t="str">
            <v>26 год</v>
          </cell>
          <cell r="AG83" t="str">
            <v>27 год</v>
          </cell>
          <cell r="AH83" t="str">
            <v>28 год</v>
          </cell>
          <cell r="AI83" t="str">
            <v>29 год</v>
          </cell>
          <cell r="AJ83" t="str">
            <v>30 год</v>
          </cell>
          <cell r="AL83" t="str">
            <v>ВСЕГО</v>
          </cell>
        </row>
        <row r="84">
          <cell r="A84" t="str">
            <v>Местная валюта                     тыс.руб.</v>
          </cell>
          <cell r="B84" t="str">
            <v>Local currency                     тыс.руб.</v>
          </cell>
        </row>
        <row r="85">
          <cell r="A85" t="str">
            <v>Электроэнергия</v>
          </cell>
          <cell r="B85" t="str">
            <v> inflation rate of foregn currency</v>
          </cell>
          <cell r="C85">
            <v>0.18</v>
          </cell>
          <cell r="D85">
            <v>0</v>
          </cell>
          <cell r="G85">
            <v>0</v>
          </cell>
          <cell r="H85">
            <v>70642.28159999999</v>
          </cell>
          <cell r="I85">
            <v>78819.5232</v>
          </cell>
          <cell r="J85">
            <v>92599.68960000001</v>
          </cell>
          <cell r="K85">
            <v>106379.856</v>
          </cell>
          <cell r="L85">
            <v>120160.0224</v>
          </cell>
          <cell r="M85">
            <v>132925.60512</v>
          </cell>
          <cell r="N85">
            <v>145691.18784</v>
          </cell>
          <cell r="O85">
            <v>158456.77056</v>
          </cell>
          <cell r="P85">
            <v>171222.35328000004</v>
          </cell>
          <cell r="Q85">
            <v>183987.936</v>
          </cell>
          <cell r="R85">
            <v>197321.38272</v>
          </cell>
          <cell r="S85">
            <v>210654.82944000003</v>
          </cell>
          <cell r="T85">
            <v>223988.27616000004</v>
          </cell>
          <cell r="U85">
            <v>237321.72288000004</v>
          </cell>
          <cell r="V85">
            <v>237321.72288000004</v>
          </cell>
          <cell r="W85">
            <v>237321.72288000004</v>
          </cell>
          <cell r="X85">
            <v>237321.72288000004</v>
          </cell>
          <cell r="Y85">
            <v>237321.72288000004</v>
          </cell>
          <cell r="Z85">
            <v>237321.72288000004</v>
          </cell>
          <cell r="AA85">
            <v>237321.72288000004</v>
          </cell>
          <cell r="AB85">
            <v>237321.72288000004</v>
          </cell>
          <cell r="AC85">
            <v>237321.72288000004</v>
          </cell>
          <cell r="AD85">
            <v>237321.72288000004</v>
          </cell>
          <cell r="AE85">
            <v>237321.72288000004</v>
          </cell>
          <cell r="AF85">
            <v>237321.72288000004</v>
          </cell>
          <cell r="AG85">
            <v>237321.72288000004</v>
          </cell>
          <cell r="AH85">
            <v>237321.72288000004</v>
          </cell>
          <cell r="AI85">
            <v>237321.72288000004</v>
          </cell>
          <cell r="AJ85">
            <v>237321.72288000004</v>
          </cell>
          <cell r="AL85">
            <v>5689997.280000004</v>
          </cell>
        </row>
        <row r="86">
          <cell r="A86" t="str">
            <v>Тепло</v>
          </cell>
          <cell r="G86">
            <v>0</v>
          </cell>
          <cell r="H86">
            <v>97976.13045356369</v>
          </cell>
          <cell r="I86">
            <v>117401.70090712742</v>
          </cell>
          <cell r="J86">
            <v>137505.89390928723</v>
          </cell>
          <cell r="K86">
            <v>157610.08691144708</v>
          </cell>
          <cell r="L86">
            <v>177714.2799136069</v>
          </cell>
          <cell r="M86">
            <v>191676.9388509719</v>
          </cell>
          <cell r="N86">
            <v>205639.59778833692</v>
          </cell>
          <cell r="O86">
            <v>219602.25672570197</v>
          </cell>
          <cell r="P86">
            <v>233564.915663067</v>
          </cell>
          <cell r="Q86">
            <v>247527.57460043195</v>
          </cell>
          <cell r="R86">
            <v>263848.4468941684</v>
          </cell>
          <cell r="S86">
            <v>280169.3191879049</v>
          </cell>
          <cell r="T86">
            <v>296490.19148164144</v>
          </cell>
          <cell r="U86">
            <v>312811.0637753779</v>
          </cell>
          <cell r="V86">
            <v>312811.0637753779</v>
          </cell>
          <cell r="W86">
            <v>312811.0637753779</v>
          </cell>
          <cell r="X86">
            <v>312811.0637753779</v>
          </cell>
          <cell r="Y86">
            <v>312811.0637753779</v>
          </cell>
          <cell r="Z86">
            <v>312811.0637753779</v>
          </cell>
          <cell r="AA86">
            <v>312811.0637753779</v>
          </cell>
          <cell r="AB86">
            <v>312811.0637753779</v>
          </cell>
          <cell r="AC86">
            <v>312811.0637753779</v>
          </cell>
          <cell r="AD86">
            <v>312811.0637753779</v>
          </cell>
          <cell r="AE86">
            <v>312811.0637753779</v>
          </cell>
          <cell r="AF86">
            <v>312811.0637753779</v>
          </cell>
          <cell r="AG86">
            <v>312811.0637753779</v>
          </cell>
          <cell r="AH86">
            <v>312811.0637753779</v>
          </cell>
          <cell r="AI86">
            <v>312811.0637753779</v>
          </cell>
          <cell r="AJ86">
            <v>312811.0637753779</v>
          </cell>
          <cell r="AL86">
            <v>7631704.353693306</v>
          </cell>
        </row>
        <row r="87">
          <cell r="A87" t="str">
            <v>Иностранная валюта                     тыс.долл.</v>
          </cell>
          <cell r="B87" t="str">
            <v>Foreign currency                     тыс.долл.</v>
          </cell>
        </row>
        <row r="88">
          <cell r="A88" t="str">
            <v>Электроэнергия</v>
          </cell>
          <cell r="B88" t="str">
            <v>Product name 1</v>
          </cell>
          <cell r="C88">
            <v>0</v>
          </cell>
          <cell r="D88">
            <v>0.15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L88">
            <v>0</v>
          </cell>
        </row>
        <row r="90">
          <cell r="A90" t="str">
            <v> = Итого выручка (без НДС)</v>
          </cell>
          <cell r="B90" t="str">
            <v> = Total revenues (VAT not including)</v>
          </cell>
          <cell r="D90" t="str">
            <v>тыс.руб.</v>
          </cell>
          <cell r="G90">
            <v>0</v>
          </cell>
          <cell r="H90">
            <v>168618.4120535637</v>
          </cell>
          <cell r="I90">
            <v>196221.2241071274</v>
          </cell>
          <cell r="J90">
            <v>230105.58350928724</v>
          </cell>
          <cell r="K90">
            <v>263989.9429114471</v>
          </cell>
          <cell r="L90">
            <v>297874.3023136069</v>
          </cell>
          <cell r="M90">
            <v>324602.5439709719</v>
          </cell>
          <cell r="N90">
            <v>351330.78562833695</v>
          </cell>
          <cell r="O90">
            <v>378059.02728570194</v>
          </cell>
          <cell r="P90">
            <v>404787.26894306706</v>
          </cell>
          <cell r="Q90">
            <v>431515.51060043194</v>
          </cell>
          <cell r="R90">
            <v>461169.8296141684</v>
          </cell>
          <cell r="S90">
            <v>490824.14862790494</v>
          </cell>
          <cell r="T90">
            <v>520478.4676416415</v>
          </cell>
          <cell r="U90">
            <v>550132.786655378</v>
          </cell>
          <cell r="V90">
            <v>550132.786655378</v>
          </cell>
          <cell r="W90">
            <v>550132.786655378</v>
          </cell>
          <cell r="X90">
            <v>550132.786655378</v>
          </cell>
          <cell r="Y90">
            <v>550132.786655378</v>
          </cell>
          <cell r="Z90">
            <v>550132.786655378</v>
          </cell>
          <cell r="AA90">
            <v>550132.786655378</v>
          </cell>
          <cell r="AB90">
            <v>550132.786655378</v>
          </cell>
          <cell r="AC90">
            <v>550132.786655378</v>
          </cell>
          <cell r="AD90">
            <v>550132.786655378</v>
          </cell>
          <cell r="AE90">
            <v>550132.786655378</v>
          </cell>
          <cell r="AF90">
            <v>550132.786655378</v>
          </cell>
          <cell r="AG90">
            <v>550132.786655378</v>
          </cell>
          <cell r="AH90">
            <v>550132.786655378</v>
          </cell>
          <cell r="AI90">
            <v>550132.786655378</v>
          </cell>
          <cell r="AJ90">
            <v>550132.786655378</v>
          </cell>
          <cell r="AL90">
            <v>13321701.633693298</v>
          </cell>
        </row>
        <row r="91">
          <cell r="A91" t="str">
            <v> - местная валюта</v>
          </cell>
          <cell r="B91" t="str">
            <v> - in local currency</v>
          </cell>
          <cell r="D91" t="str">
            <v>тыс.руб.</v>
          </cell>
          <cell r="G91">
            <v>0</v>
          </cell>
          <cell r="H91">
            <v>168618.4120535637</v>
          </cell>
          <cell r="I91">
            <v>196221.2241071274</v>
          </cell>
          <cell r="J91">
            <v>230105.58350928724</v>
          </cell>
          <cell r="K91">
            <v>263989.9429114471</v>
          </cell>
          <cell r="L91">
            <v>297874.3023136069</v>
          </cell>
          <cell r="M91">
            <v>324602.5439709719</v>
          </cell>
          <cell r="N91">
            <v>351330.78562833695</v>
          </cell>
          <cell r="O91">
            <v>378059.02728570194</v>
          </cell>
          <cell r="P91">
            <v>404787.26894306706</v>
          </cell>
          <cell r="Q91">
            <v>431515.51060043194</v>
          </cell>
          <cell r="R91">
            <v>461169.8296141684</v>
          </cell>
          <cell r="S91">
            <v>490824.14862790494</v>
          </cell>
          <cell r="T91">
            <v>520478.4676416415</v>
          </cell>
          <cell r="U91">
            <v>550132.786655378</v>
          </cell>
          <cell r="V91">
            <v>550132.786655378</v>
          </cell>
          <cell r="W91">
            <v>550132.786655378</v>
          </cell>
          <cell r="X91">
            <v>550132.786655378</v>
          </cell>
          <cell r="Y91">
            <v>550132.786655378</v>
          </cell>
          <cell r="Z91">
            <v>550132.786655378</v>
          </cell>
          <cell r="AA91">
            <v>550132.786655378</v>
          </cell>
          <cell r="AB91">
            <v>550132.786655378</v>
          </cell>
          <cell r="AC91">
            <v>550132.786655378</v>
          </cell>
          <cell r="AD91">
            <v>550132.786655378</v>
          </cell>
          <cell r="AE91">
            <v>550132.786655378</v>
          </cell>
          <cell r="AF91">
            <v>550132.786655378</v>
          </cell>
          <cell r="AG91">
            <v>550132.786655378</v>
          </cell>
          <cell r="AH91">
            <v>550132.786655378</v>
          </cell>
          <cell r="AI91">
            <v>550132.786655378</v>
          </cell>
          <cell r="AJ91">
            <v>550132.786655378</v>
          </cell>
          <cell r="AL91">
            <v>13321701.633693298</v>
          </cell>
        </row>
        <row r="92">
          <cell r="A92" t="str">
            <v> - иностранная валюта</v>
          </cell>
          <cell r="B92" t="str">
            <v> - in foreign currency</v>
          </cell>
          <cell r="D92" t="str">
            <v>тыс.долл.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L92">
            <v>0</v>
          </cell>
        </row>
        <row r="94">
          <cell r="A94" t="str">
            <v> = НДС к выручке </v>
          </cell>
          <cell r="B94" t="str">
            <v> = VAT to revenues</v>
          </cell>
          <cell r="D94" t="str">
            <v>тыс.руб.</v>
          </cell>
          <cell r="G94">
            <v>0</v>
          </cell>
          <cell r="H94">
            <v>12715.610687999997</v>
          </cell>
          <cell r="I94">
            <v>14187.514175999999</v>
          </cell>
          <cell r="J94">
            <v>16667.944128000003</v>
          </cell>
          <cell r="K94">
            <v>19148.374079999998</v>
          </cell>
          <cell r="L94">
            <v>21628.804032</v>
          </cell>
          <cell r="M94">
            <v>23926.608921599996</v>
          </cell>
          <cell r="N94">
            <v>26224.4138112</v>
          </cell>
          <cell r="O94">
            <v>28522.2187008</v>
          </cell>
          <cell r="P94">
            <v>30820.023590400007</v>
          </cell>
          <cell r="Q94">
            <v>33117.82848</v>
          </cell>
          <cell r="R94">
            <v>35517.8488896</v>
          </cell>
          <cell r="S94">
            <v>37917.86929920001</v>
          </cell>
          <cell r="T94">
            <v>40317.88970880001</v>
          </cell>
          <cell r="U94">
            <v>42717.91011840001</v>
          </cell>
          <cell r="V94">
            <v>42717.91011840001</v>
          </cell>
          <cell r="W94">
            <v>42717.91011840001</v>
          </cell>
          <cell r="X94">
            <v>42717.91011840001</v>
          </cell>
          <cell r="Y94">
            <v>42717.91011840001</v>
          </cell>
          <cell r="Z94">
            <v>42717.91011840001</v>
          </cell>
          <cell r="AA94">
            <v>42717.91011840001</v>
          </cell>
          <cell r="AB94">
            <v>42717.91011840001</v>
          </cell>
          <cell r="AC94">
            <v>42717.91011840001</v>
          </cell>
          <cell r="AD94">
            <v>42717.91011840001</v>
          </cell>
          <cell r="AE94">
            <v>42717.91011840001</v>
          </cell>
          <cell r="AF94">
            <v>42717.91011840001</v>
          </cell>
          <cell r="AG94">
            <v>42717.91011840001</v>
          </cell>
          <cell r="AH94">
            <v>42717.91011840001</v>
          </cell>
          <cell r="AI94">
            <v>42717.91011840001</v>
          </cell>
          <cell r="AJ94">
            <v>42717.91011840001</v>
          </cell>
          <cell r="AL94">
            <v>1024199.5104000001</v>
          </cell>
        </row>
        <row r="96">
          <cell r="A96" t="str">
            <v> = Экспортная пошлина</v>
          </cell>
          <cell r="B96" t="str">
            <v> = The export duty</v>
          </cell>
          <cell r="D96" t="str">
            <v>тыс.руб.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L96">
            <v>0</v>
          </cell>
        </row>
        <row r="97">
          <cell r="A97" t="str">
            <v> - местная валюта</v>
          </cell>
          <cell r="B97" t="str">
            <v> - in local currency</v>
          </cell>
          <cell r="D97" t="str">
            <v>тыс.руб.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L97">
            <v>0</v>
          </cell>
        </row>
        <row r="98">
          <cell r="A98" t="str">
            <v> - иностранная валюта</v>
          </cell>
          <cell r="B98" t="str">
            <v> - in foreign currency</v>
          </cell>
          <cell r="D98" t="str">
            <v>тыс.долл.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L98">
            <v>0</v>
          </cell>
        </row>
        <row r="100">
          <cell r="A100" t="str">
            <v>Смещение цен</v>
          </cell>
          <cell r="G100">
            <v>0</v>
          </cell>
          <cell r="H100">
            <v>1</v>
          </cell>
          <cell r="I100">
            <v>2</v>
          </cell>
          <cell r="J100">
            <v>3</v>
          </cell>
          <cell r="K100">
            <v>4</v>
          </cell>
          <cell r="L100">
            <v>5</v>
          </cell>
          <cell r="M100">
            <v>6</v>
          </cell>
          <cell r="N100">
            <v>7</v>
          </cell>
          <cell r="O100">
            <v>8</v>
          </cell>
          <cell r="P100">
            <v>9</v>
          </cell>
          <cell r="Q100">
            <v>10</v>
          </cell>
          <cell r="R100">
            <v>11</v>
          </cell>
          <cell r="S100">
            <v>12</v>
          </cell>
          <cell r="T100">
            <v>13</v>
          </cell>
          <cell r="U100">
            <v>14</v>
          </cell>
          <cell r="V100">
            <v>15</v>
          </cell>
        </row>
        <row r="102">
          <cell r="A102" t="str">
            <v>Цт=максимальные Постоянные цены</v>
          </cell>
          <cell r="B102" t="str">
            <v>Цт=максимальные Постоянные цены</v>
          </cell>
          <cell r="AL102" t="str">
            <v>АЛЬТ-Инвест™ 3.0</v>
          </cell>
        </row>
        <row r="103">
          <cell r="A103" t="str">
            <v>РАСХОД УСЛОВНОГО ТОПЛИВА</v>
          </cell>
          <cell r="B103" t="str">
            <v>RAW MATERIALS &amp; SUPPLIES (QUANTITY CONSUMED)</v>
          </cell>
          <cell r="F103" t="str">
            <v>"0"</v>
          </cell>
          <cell r="G103" t="str">
            <v>1 год</v>
          </cell>
          <cell r="H103" t="str">
            <v>2 год</v>
          </cell>
          <cell r="I103" t="str">
            <v>3 год</v>
          </cell>
          <cell r="J103" t="str">
            <v>4 год</v>
          </cell>
          <cell r="K103" t="str">
            <v>5 год</v>
          </cell>
          <cell r="L103" t="str">
            <v>6 год</v>
          </cell>
          <cell r="M103" t="str">
            <v>7 год</v>
          </cell>
          <cell r="N103" t="str">
            <v>8 год</v>
          </cell>
          <cell r="O103" t="str">
            <v>9 год</v>
          </cell>
          <cell r="P103" t="str">
            <v>10 год</v>
          </cell>
          <cell r="Q103" t="str">
            <v>11 год</v>
          </cell>
          <cell r="R103" t="str">
            <v>12 год</v>
          </cell>
          <cell r="S103" t="str">
            <v>13 год</v>
          </cell>
          <cell r="T103" t="str">
            <v>14 год</v>
          </cell>
          <cell r="U103" t="str">
            <v>15 год</v>
          </cell>
          <cell r="V103" t="str">
            <v>16 год</v>
          </cell>
          <cell r="W103" t="str">
            <v>17 год</v>
          </cell>
          <cell r="X103" t="str">
            <v>18 год</v>
          </cell>
          <cell r="Y103" t="str">
            <v>19 год</v>
          </cell>
          <cell r="Z103" t="str">
            <v>20 год</v>
          </cell>
          <cell r="AA103" t="str">
            <v>21 год</v>
          </cell>
          <cell r="AB103" t="str">
            <v>22 год</v>
          </cell>
          <cell r="AC103" t="str">
            <v>23 год</v>
          </cell>
          <cell r="AD103" t="str">
            <v>24 год</v>
          </cell>
          <cell r="AE103" t="str">
            <v>25 год</v>
          </cell>
          <cell r="AF103" t="str">
            <v>26 год</v>
          </cell>
          <cell r="AG103" t="str">
            <v>27 год</v>
          </cell>
          <cell r="AH103" t="str">
            <v>28 год</v>
          </cell>
          <cell r="AI103" t="str">
            <v>29 год</v>
          </cell>
          <cell r="AJ103" t="str">
            <v>30 год</v>
          </cell>
          <cell r="AL103" t="str">
            <v>ВСЕГО</v>
          </cell>
        </row>
        <row r="104">
          <cell r="A104" t="str">
            <v>Местная валюта</v>
          </cell>
          <cell r="B104" t="str">
            <v>Local currency</v>
          </cell>
        </row>
        <row r="105">
          <cell r="A105" t="str">
            <v>на энергию</v>
          </cell>
          <cell r="B105" t="str">
            <v>Cost name 1</v>
          </cell>
          <cell r="D105" t="str">
            <v>тыс. тут</v>
          </cell>
          <cell r="G105">
            <v>0</v>
          </cell>
          <cell r="H105">
            <v>36.15084</v>
          </cell>
          <cell r="I105">
            <v>36.15084</v>
          </cell>
          <cell r="J105">
            <v>36.15084</v>
          </cell>
          <cell r="K105">
            <v>36.15084</v>
          </cell>
          <cell r="L105">
            <v>36.15084</v>
          </cell>
          <cell r="M105">
            <v>36.15084</v>
          </cell>
          <cell r="N105">
            <v>36.15084</v>
          </cell>
          <cell r="O105">
            <v>36.15084</v>
          </cell>
          <cell r="P105">
            <v>36.15084</v>
          </cell>
          <cell r="Q105">
            <v>36.15084</v>
          </cell>
          <cell r="R105">
            <v>36.15084</v>
          </cell>
          <cell r="S105">
            <v>36.15084</v>
          </cell>
          <cell r="T105">
            <v>36.15084</v>
          </cell>
          <cell r="U105">
            <v>36.15084</v>
          </cell>
          <cell r="V105">
            <v>36.15084</v>
          </cell>
          <cell r="W105">
            <v>36.15084</v>
          </cell>
          <cell r="X105">
            <v>36.15084</v>
          </cell>
          <cell r="Y105">
            <v>36.15084</v>
          </cell>
          <cell r="Z105">
            <v>36.15084</v>
          </cell>
          <cell r="AA105">
            <v>36.15084</v>
          </cell>
          <cell r="AB105">
            <v>36.15084</v>
          </cell>
          <cell r="AC105">
            <v>36.15084</v>
          </cell>
          <cell r="AD105">
            <v>36.15084</v>
          </cell>
          <cell r="AE105">
            <v>36.15084</v>
          </cell>
          <cell r="AF105">
            <v>36.15084</v>
          </cell>
          <cell r="AG105">
            <v>36.15084</v>
          </cell>
          <cell r="AH105">
            <v>36.15084</v>
          </cell>
          <cell r="AI105">
            <v>36.15084</v>
          </cell>
          <cell r="AJ105">
            <v>36.15084</v>
          </cell>
          <cell r="AL105">
            <v>1048.3743600000003</v>
          </cell>
        </row>
        <row r="106">
          <cell r="A106" t="str">
            <v>на тепло</v>
          </cell>
          <cell r="D106" t="str">
            <v>тыс. тут</v>
          </cell>
          <cell r="G106">
            <v>0</v>
          </cell>
          <cell r="H106">
            <v>37.62</v>
          </cell>
          <cell r="I106">
            <v>37.62</v>
          </cell>
          <cell r="J106">
            <v>37.62</v>
          </cell>
          <cell r="K106">
            <v>37.62</v>
          </cell>
          <cell r="L106">
            <v>37.62</v>
          </cell>
          <cell r="M106">
            <v>37.62</v>
          </cell>
          <cell r="N106">
            <v>37.62</v>
          </cell>
          <cell r="O106">
            <v>37.62</v>
          </cell>
          <cell r="P106">
            <v>37.62</v>
          </cell>
          <cell r="Q106">
            <v>37.62</v>
          </cell>
          <cell r="R106">
            <v>37.62</v>
          </cell>
          <cell r="S106">
            <v>37.62</v>
          </cell>
          <cell r="T106">
            <v>37.62</v>
          </cell>
          <cell r="U106">
            <v>37.62</v>
          </cell>
          <cell r="V106">
            <v>37.62</v>
          </cell>
          <cell r="W106">
            <v>37.62</v>
          </cell>
          <cell r="X106">
            <v>37.62</v>
          </cell>
          <cell r="Y106">
            <v>37.62</v>
          </cell>
          <cell r="Z106">
            <v>37.62</v>
          </cell>
          <cell r="AA106">
            <v>37.62</v>
          </cell>
          <cell r="AB106">
            <v>37.62</v>
          </cell>
          <cell r="AC106">
            <v>37.62</v>
          </cell>
          <cell r="AD106">
            <v>37.62</v>
          </cell>
          <cell r="AE106">
            <v>37.62</v>
          </cell>
          <cell r="AF106">
            <v>37.62</v>
          </cell>
          <cell r="AG106">
            <v>37.62</v>
          </cell>
          <cell r="AH106">
            <v>37.62</v>
          </cell>
          <cell r="AI106">
            <v>37.62</v>
          </cell>
          <cell r="AJ106">
            <v>37.62</v>
          </cell>
          <cell r="AL106">
            <v>1090.9799999999998</v>
          </cell>
        </row>
        <row r="107">
          <cell r="A107" t="str">
            <v>Иностранная валюта</v>
          </cell>
          <cell r="B107" t="str">
            <v>Foreign currency</v>
          </cell>
        </row>
        <row r="108">
          <cell r="B108" t="str">
            <v>Cost name 1</v>
          </cell>
          <cell r="D108" t="str">
            <v>ед. изм.</v>
          </cell>
          <cell r="AL108">
            <v>0</v>
          </cell>
        </row>
        <row r="112">
          <cell r="A112" t="str">
            <v>Цт=максимальные Постоянные цены</v>
          </cell>
          <cell r="B112" t="str">
            <v>Цт=максимальные Постоянные цены</v>
          </cell>
          <cell r="AK112" t="str">
            <v>АЛЬТ-Инвест™ 3.0</v>
          </cell>
        </row>
        <row r="113">
          <cell r="A113" t="str">
            <v>ЦЕНЫ ТОПЛИВА (БЕЗ НДС)</v>
          </cell>
          <cell r="B113" t="str">
            <v>RAW MATERIALS &amp; SUPPLIES (PRICE WITHOUT VAT)</v>
          </cell>
          <cell r="F113" t="str">
            <v>"0"</v>
          </cell>
          <cell r="G113" t="str">
            <v>1 год</v>
          </cell>
          <cell r="H113" t="str">
            <v>2 год</v>
          </cell>
          <cell r="I113" t="str">
            <v>3 год</v>
          </cell>
          <cell r="J113" t="str">
            <v>4 год</v>
          </cell>
          <cell r="K113" t="str">
            <v>5 год</v>
          </cell>
          <cell r="L113" t="str">
            <v>6 год</v>
          </cell>
          <cell r="M113" t="str">
            <v>7 год</v>
          </cell>
          <cell r="N113" t="str">
            <v>8 год</v>
          </cell>
          <cell r="O113" t="str">
            <v>9 год</v>
          </cell>
          <cell r="P113" t="str">
            <v>10 год</v>
          </cell>
          <cell r="Q113" t="str">
            <v>11 год</v>
          </cell>
          <cell r="R113" t="str">
            <v>12 год</v>
          </cell>
          <cell r="S113" t="str">
            <v>13 год</v>
          </cell>
          <cell r="T113" t="str">
            <v>14 год</v>
          </cell>
          <cell r="U113" t="str">
            <v>15 год</v>
          </cell>
          <cell r="V113" t="str">
            <v>16 год</v>
          </cell>
          <cell r="W113" t="str">
            <v>17 год</v>
          </cell>
          <cell r="X113" t="str">
            <v>18 год</v>
          </cell>
          <cell r="Y113" t="str">
            <v>19 год</v>
          </cell>
          <cell r="Z113" t="str">
            <v>20 год</v>
          </cell>
          <cell r="AA113" t="str">
            <v>21 год</v>
          </cell>
          <cell r="AB113" t="str">
            <v>22 год</v>
          </cell>
          <cell r="AC113" t="str">
            <v>23 год</v>
          </cell>
          <cell r="AD113" t="str">
            <v>24 год</v>
          </cell>
          <cell r="AE113" t="str">
            <v>25 год</v>
          </cell>
          <cell r="AF113" t="str">
            <v>26 год</v>
          </cell>
          <cell r="AG113" t="str">
            <v>27 год</v>
          </cell>
          <cell r="AH113" t="str">
            <v>28 год</v>
          </cell>
          <cell r="AI113" t="str">
            <v>29 год</v>
          </cell>
          <cell r="AJ113" t="str">
            <v>30 год</v>
          </cell>
        </row>
        <row r="114">
          <cell r="A114" t="str">
            <v>Местная валюта</v>
          </cell>
          <cell r="B114" t="str">
            <v>Local currency</v>
          </cell>
        </row>
        <row r="115">
          <cell r="A115" t="str">
            <v>на энергию и тепло</v>
          </cell>
          <cell r="B115" t="str">
            <v>Cost name 1</v>
          </cell>
          <cell r="C115" t="str">
            <v>руб./тыс. тут</v>
          </cell>
          <cell r="E115" t="str">
            <v>on_end</v>
          </cell>
          <cell r="G115">
            <v>926000</v>
          </cell>
          <cell r="H115">
            <v>1155000</v>
          </cell>
          <cell r="I115">
            <v>1384000</v>
          </cell>
          <cell r="J115">
            <v>1621000</v>
          </cell>
          <cell r="K115">
            <v>1858000</v>
          </cell>
          <cell r="L115">
            <v>2095000</v>
          </cell>
          <cell r="M115">
            <v>2259600</v>
          </cell>
          <cell r="N115">
            <v>2424200</v>
          </cell>
          <cell r="O115">
            <v>2588799.9999999995</v>
          </cell>
          <cell r="P115">
            <v>2753399.9999999995</v>
          </cell>
          <cell r="Q115">
            <v>2918000</v>
          </cell>
          <cell r="R115">
            <v>3110400</v>
          </cell>
          <cell r="S115">
            <v>3302800</v>
          </cell>
          <cell r="T115">
            <v>3495200.0000000005</v>
          </cell>
          <cell r="U115">
            <v>3687600.0000000005</v>
          </cell>
          <cell r="V115">
            <v>3687600.0000000005</v>
          </cell>
          <cell r="W115">
            <v>3687600.0000000005</v>
          </cell>
          <cell r="X115">
            <v>3687600.0000000005</v>
          </cell>
          <cell r="Y115">
            <v>3687600.0000000005</v>
          </cell>
          <cell r="Z115">
            <v>3687600.0000000005</v>
          </cell>
          <cell r="AA115">
            <v>3687600.0000000005</v>
          </cell>
          <cell r="AB115">
            <v>3687600.0000000005</v>
          </cell>
          <cell r="AC115">
            <v>3687600.0000000005</v>
          </cell>
          <cell r="AD115">
            <v>3687600.0000000005</v>
          </cell>
          <cell r="AE115">
            <v>3687600.0000000005</v>
          </cell>
          <cell r="AF115">
            <v>3687600.0000000005</v>
          </cell>
          <cell r="AG115">
            <v>3687600.0000000005</v>
          </cell>
          <cell r="AH115">
            <v>3687600.0000000005</v>
          </cell>
          <cell r="AI115">
            <v>3687600.0000000005</v>
          </cell>
          <cell r="AJ115">
            <v>3687600.0000000005</v>
          </cell>
        </row>
        <row r="117">
          <cell r="A117" t="str">
            <v>Иностранная валюта</v>
          </cell>
          <cell r="B117" t="str">
            <v>Foreign currency</v>
          </cell>
        </row>
        <row r="118">
          <cell r="A118" t="str">
            <v>на энергию</v>
          </cell>
          <cell r="B118" t="str">
            <v>Cost name 1</v>
          </cell>
          <cell r="C118" t="str">
            <v>долл./ед. изм.</v>
          </cell>
          <cell r="E118" t="str">
            <v>on_end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</row>
        <row r="122">
          <cell r="A122" t="str">
            <v>Цт=максимальные Постоянные цены</v>
          </cell>
          <cell r="B122" t="str">
            <v>Цт=максимальные Постоянные цены</v>
          </cell>
          <cell r="AL122" t="str">
            <v>АЛЬТ-Инвест™ 3.0</v>
          </cell>
        </row>
        <row r="123">
          <cell r="A123" t="str">
            <v>ЗАТРАТЫ НА ТОПЛИВО</v>
          </cell>
          <cell r="B123" t="str">
            <v>TOTAL COSTS OF RAW MATERIALS &amp; SUPPLIES</v>
          </cell>
          <cell r="C123" t="str">
            <v>НДС</v>
          </cell>
          <cell r="D123" t="str">
            <v>Импорт.пошл.</v>
          </cell>
          <cell r="F123" t="str">
            <v>"0"</v>
          </cell>
          <cell r="G123" t="str">
            <v>1 год</v>
          </cell>
          <cell r="H123" t="str">
            <v>2 год</v>
          </cell>
          <cell r="I123" t="str">
            <v>3 год</v>
          </cell>
          <cell r="J123" t="str">
            <v>4 год</v>
          </cell>
          <cell r="K123" t="str">
            <v>5 год</v>
          </cell>
          <cell r="L123" t="str">
            <v>6 год</v>
          </cell>
          <cell r="M123" t="str">
            <v>7 год</v>
          </cell>
          <cell r="N123" t="str">
            <v>8 год</v>
          </cell>
          <cell r="O123" t="str">
            <v>9 год</v>
          </cell>
          <cell r="P123" t="str">
            <v>10 год</v>
          </cell>
          <cell r="Q123" t="str">
            <v>11 год</v>
          </cell>
          <cell r="R123" t="str">
            <v>12 год</v>
          </cell>
          <cell r="S123" t="str">
            <v>13 год</v>
          </cell>
          <cell r="T123" t="str">
            <v>14 год</v>
          </cell>
          <cell r="U123" t="str">
            <v>15 год</v>
          </cell>
          <cell r="V123" t="str">
            <v>16 год</v>
          </cell>
          <cell r="W123" t="str">
            <v>17 год</v>
          </cell>
          <cell r="X123" t="str">
            <v>18 год</v>
          </cell>
          <cell r="Y123" t="str">
            <v>19 год</v>
          </cell>
          <cell r="Z123" t="str">
            <v>20 год</v>
          </cell>
          <cell r="AA123" t="str">
            <v>21 год</v>
          </cell>
          <cell r="AB123" t="str">
            <v>22 год</v>
          </cell>
          <cell r="AC123" t="str">
            <v>23 год</v>
          </cell>
          <cell r="AD123" t="str">
            <v>24 год</v>
          </cell>
          <cell r="AE123" t="str">
            <v>25 год</v>
          </cell>
          <cell r="AF123" t="str">
            <v>26 год</v>
          </cell>
          <cell r="AG123" t="str">
            <v>27 год</v>
          </cell>
          <cell r="AH123" t="str">
            <v>28 год</v>
          </cell>
          <cell r="AI123" t="str">
            <v>29 год</v>
          </cell>
          <cell r="AJ123" t="str">
            <v>30 год</v>
          </cell>
          <cell r="AL123" t="str">
            <v>ВСЕГО</v>
          </cell>
        </row>
        <row r="124">
          <cell r="A124" t="str">
            <v>Местная валюта                     тыс.руб.</v>
          </cell>
          <cell r="B124" t="str">
            <v>Local currency                     тыс.руб.</v>
          </cell>
        </row>
        <row r="125">
          <cell r="A125" t="str">
            <v>на энергию и тепло</v>
          </cell>
          <cell r="B125" t="str">
            <v>Cost name 1</v>
          </cell>
          <cell r="C125">
            <v>0.18</v>
          </cell>
          <cell r="D125">
            <v>0</v>
          </cell>
          <cell r="G125">
            <v>0</v>
          </cell>
          <cell r="H125">
            <v>85205.32019999999</v>
          </cell>
          <cell r="I125">
            <v>102098.84255999999</v>
          </cell>
          <cell r="J125">
            <v>119582.53163999999</v>
          </cell>
          <cell r="K125">
            <v>137066.22072</v>
          </cell>
          <cell r="L125">
            <v>154549.9098</v>
          </cell>
          <cell r="M125">
            <v>166692.590064</v>
          </cell>
          <cell r="N125">
            <v>178835.27032799998</v>
          </cell>
          <cell r="O125">
            <v>190977.95059199995</v>
          </cell>
          <cell r="P125">
            <v>203120.63085599995</v>
          </cell>
          <cell r="Q125">
            <v>215263.31111999997</v>
          </cell>
          <cell r="R125">
            <v>229456.82073599997</v>
          </cell>
          <cell r="S125">
            <v>243650.33035199996</v>
          </cell>
          <cell r="T125">
            <v>257843.839968</v>
          </cell>
          <cell r="U125">
            <v>272037.349584</v>
          </cell>
          <cell r="V125">
            <v>272037.349584</v>
          </cell>
          <cell r="W125">
            <v>272037.349584</v>
          </cell>
          <cell r="X125">
            <v>272037.349584</v>
          </cell>
          <cell r="Y125">
            <v>272037.349584</v>
          </cell>
          <cell r="Z125">
            <v>272037.349584</v>
          </cell>
          <cell r="AA125">
            <v>272037.349584</v>
          </cell>
          <cell r="AB125">
            <v>272037.349584</v>
          </cell>
          <cell r="AC125">
            <v>272037.349584</v>
          </cell>
          <cell r="AD125">
            <v>272037.349584</v>
          </cell>
          <cell r="AE125">
            <v>272037.349584</v>
          </cell>
          <cell r="AF125">
            <v>272037.349584</v>
          </cell>
          <cell r="AG125">
            <v>272037.349584</v>
          </cell>
          <cell r="AH125">
            <v>272037.349584</v>
          </cell>
          <cell r="AI125">
            <v>272037.349584</v>
          </cell>
          <cell r="AJ125">
            <v>272037.349584</v>
          </cell>
          <cell r="AL125">
            <v>6636941.162280003</v>
          </cell>
        </row>
        <row r="127">
          <cell r="A127" t="str">
            <v>Иностранная валюта                     тыс.долл.</v>
          </cell>
          <cell r="B127" t="str">
            <v>Foreign currency                     тыс.долл.</v>
          </cell>
        </row>
        <row r="128">
          <cell r="A128" t="str">
            <v>на энергию</v>
          </cell>
          <cell r="B128" t="str">
            <v>Cost name 1</v>
          </cell>
          <cell r="C128">
            <v>0.18</v>
          </cell>
          <cell r="D128">
            <v>0.15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L128">
            <v>0</v>
          </cell>
        </row>
        <row r="130">
          <cell r="A130" t="str">
            <v> = Итого затраты на сырье и материалы (без НДС)</v>
          </cell>
          <cell r="B130" t="str">
            <v> = Total cost of raw material &amp; supplies (without VAT)</v>
          </cell>
          <cell r="D130" t="str">
            <v>тыс.руб.</v>
          </cell>
          <cell r="G130">
            <v>0</v>
          </cell>
          <cell r="H130">
            <v>85205.32019999999</v>
          </cell>
          <cell r="I130">
            <v>102098.84255999999</v>
          </cell>
          <cell r="J130">
            <v>119582.53163999999</v>
          </cell>
          <cell r="K130">
            <v>137066.22072</v>
          </cell>
          <cell r="L130">
            <v>154549.9098</v>
          </cell>
          <cell r="M130">
            <v>166692.590064</v>
          </cell>
          <cell r="N130">
            <v>178835.27032799998</v>
          </cell>
          <cell r="O130">
            <v>190977.95059199995</v>
          </cell>
          <cell r="P130">
            <v>203120.63085599995</v>
          </cell>
          <cell r="Q130">
            <v>215263.31111999997</v>
          </cell>
          <cell r="R130">
            <v>229456.82073599997</v>
          </cell>
          <cell r="S130">
            <v>243650.33035199996</v>
          </cell>
          <cell r="T130">
            <v>257843.839968</v>
          </cell>
          <cell r="U130">
            <v>272037.349584</v>
          </cell>
          <cell r="V130">
            <v>272037.349584</v>
          </cell>
          <cell r="W130">
            <v>272037.349584</v>
          </cell>
          <cell r="X130">
            <v>272037.349584</v>
          </cell>
          <cell r="Y130">
            <v>272037.349584</v>
          </cell>
          <cell r="Z130">
            <v>272037.349584</v>
          </cell>
          <cell r="AA130">
            <v>272037.349584</v>
          </cell>
          <cell r="AB130">
            <v>272037.349584</v>
          </cell>
          <cell r="AC130">
            <v>272037.349584</v>
          </cell>
          <cell r="AD130">
            <v>272037.349584</v>
          </cell>
          <cell r="AE130">
            <v>272037.349584</v>
          </cell>
          <cell r="AF130">
            <v>272037.349584</v>
          </cell>
          <cell r="AG130">
            <v>272037.349584</v>
          </cell>
          <cell r="AH130">
            <v>272037.349584</v>
          </cell>
          <cell r="AI130">
            <v>272037.349584</v>
          </cell>
          <cell r="AJ130">
            <v>272037.349584</v>
          </cell>
          <cell r="AL130">
            <v>6636941.162280003</v>
          </cell>
        </row>
        <row r="131">
          <cell r="A131" t="str">
            <v> - местная валюта</v>
          </cell>
          <cell r="B131" t="str">
            <v> - in local currency</v>
          </cell>
          <cell r="D131" t="str">
            <v>тыс.руб.</v>
          </cell>
          <cell r="G131">
            <v>0</v>
          </cell>
          <cell r="H131">
            <v>85205.32019999999</v>
          </cell>
          <cell r="I131">
            <v>102098.84255999999</v>
          </cell>
          <cell r="J131">
            <v>119582.53163999999</v>
          </cell>
          <cell r="K131">
            <v>137066.22072</v>
          </cell>
          <cell r="L131">
            <v>154549.9098</v>
          </cell>
          <cell r="M131">
            <v>166692.590064</v>
          </cell>
          <cell r="N131">
            <v>178835.27032799998</v>
          </cell>
          <cell r="O131">
            <v>190977.95059199995</v>
          </cell>
          <cell r="P131">
            <v>203120.63085599995</v>
          </cell>
          <cell r="Q131">
            <v>215263.31111999997</v>
          </cell>
          <cell r="R131">
            <v>229456.82073599997</v>
          </cell>
          <cell r="S131">
            <v>243650.33035199996</v>
          </cell>
          <cell r="T131">
            <v>257843.839968</v>
          </cell>
          <cell r="U131">
            <v>272037.349584</v>
          </cell>
          <cell r="V131">
            <v>272037.349584</v>
          </cell>
          <cell r="W131">
            <v>272037.349584</v>
          </cell>
          <cell r="X131">
            <v>272037.349584</v>
          </cell>
          <cell r="Y131">
            <v>272037.349584</v>
          </cell>
          <cell r="Z131">
            <v>272037.349584</v>
          </cell>
          <cell r="AA131">
            <v>272037.349584</v>
          </cell>
          <cell r="AB131">
            <v>272037.349584</v>
          </cell>
          <cell r="AC131">
            <v>272037.349584</v>
          </cell>
          <cell r="AD131">
            <v>272037.349584</v>
          </cell>
          <cell r="AE131">
            <v>272037.349584</v>
          </cell>
          <cell r="AF131">
            <v>272037.349584</v>
          </cell>
          <cell r="AG131">
            <v>272037.349584</v>
          </cell>
          <cell r="AH131">
            <v>272037.349584</v>
          </cell>
          <cell r="AI131">
            <v>272037.349584</v>
          </cell>
          <cell r="AJ131">
            <v>272037.349584</v>
          </cell>
          <cell r="AL131">
            <v>6636941.162280003</v>
          </cell>
        </row>
        <row r="132">
          <cell r="A132" t="str">
            <v> - иностранная валюта</v>
          </cell>
          <cell r="B132" t="str">
            <v> - in foreign currency</v>
          </cell>
          <cell r="D132" t="str">
            <v>тыс.долл.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L132">
            <v>0</v>
          </cell>
        </row>
        <row r="134">
          <cell r="A134" t="str">
            <v> = в том числе импортная пошлина</v>
          </cell>
          <cell r="B134" t="str">
            <v> = including import duty</v>
          </cell>
          <cell r="D134" t="str">
            <v>тыс.руб.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L134">
            <v>0</v>
          </cell>
        </row>
        <row r="135">
          <cell r="A135" t="str">
            <v> - местная валюта</v>
          </cell>
          <cell r="B135" t="str">
            <v> - in local currency</v>
          </cell>
          <cell r="D135" t="str">
            <v>тыс.руб.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L135">
            <v>0</v>
          </cell>
        </row>
        <row r="136">
          <cell r="A136" t="str">
            <v> - иностранная валюта</v>
          </cell>
          <cell r="B136" t="str">
            <v> - in foreign currency</v>
          </cell>
          <cell r="D136" t="str">
            <v>тыс.долл.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L136">
            <v>0</v>
          </cell>
        </row>
        <row r="138">
          <cell r="A138" t="str">
            <v> = НДС к затратам</v>
          </cell>
          <cell r="B138" t="str">
            <v> = VAT to costs</v>
          </cell>
          <cell r="D138" t="str">
            <v>тыс.руб.</v>
          </cell>
          <cell r="G138">
            <v>0</v>
          </cell>
          <cell r="H138">
            <v>15336.957635999997</v>
          </cell>
          <cell r="I138">
            <v>18377.791660799998</v>
          </cell>
          <cell r="J138">
            <v>21524.855695199996</v>
          </cell>
          <cell r="K138">
            <v>24671.919729600002</v>
          </cell>
          <cell r="L138">
            <v>27818.983763999997</v>
          </cell>
          <cell r="M138">
            <v>30004.666211519998</v>
          </cell>
          <cell r="N138">
            <v>32190.348659039995</v>
          </cell>
          <cell r="O138">
            <v>34376.03110655999</v>
          </cell>
          <cell r="P138">
            <v>36561.713554079986</v>
          </cell>
          <cell r="Q138">
            <v>38747.39600159999</v>
          </cell>
          <cell r="R138">
            <v>41302.227732479994</v>
          </cell>
          <cell r="S138">
            <v>43857.05946335999</v>
          </cell>
          <cell r="T138">
            <v>46411.89119423999</v>
          </cell>
          <cell r="U138">
            <v>48966.72292512</v>
          </cell>
          <cell r="V138">
            <v>48966.72292512</v>
          </cell>
          <cell r="W138">
            <v>48966.72292512</v>
          </cell>
          <cell r="X138">
            <v>48966.72292512</v>
          </cell>
          <cell r="Y138">
            <v>48966.72292512</v>
          </cell>
          <cell r="Z138">
            <v>48966.72292512</v>
          </cell>
          <cell r="AA138">
            <v>48966.72292512</v>
          </cell>
          <cell r="AB138">
            <v>48966.72292512</v>
          </cell>
          <cell r="AC138">
            <v>48966.72292512</v>
          </cell>
          <cell r="AD138">
            <v>48966.72292512</v>
          </cell>
          <cell r="AE138">
            <v>48966.72292512</v>
          </cell>
          <cell r="AF138">
            <v>48966.72292512</v>
          </cell>
          <cell r="AG138">
            <v>48966.72292512</v>
          </cell>
          <cell r="AH138">
            <v>48966.72292512</v>
          </cell>
          <cell r="AI138">
            <v>48966.72292512</v>
          </cell>
          <cell r="AJ138">
            <v>48966.72292512</v>
          </cell>
          <cell r="AL138">
            <v>1194649.4092104004</v>
          </cell>
        </row>
        <row r="142">
          <cell r="A142" t="str">
            <v>Цт=максимальные Постоянные цены</v>
          </cell>
          <cell r="B142" t="str">
            <v>Цт=максимальные Постоянные цены</v>
          </cell>
          <cell r="AL142" t="str">
            <v>АЛЬТ-Инвест™ 3.0</v>
          </cell>
        </row>
        <row r="143">
          <cell r="A143" t="str">
            <v>ЧИСЛЕННОСТЬ И ЗАРАБОТНАЯ ПЛАТА</v>
          </cell>
          <cell r="B143" t="str">
            <v>EMPLOYMENT COSTS</v>
          </cell>
          <cell r="F143" t="str">
            <v>"0"</v>
          </cell>
          <cell r="G143" t="str">
            <v>1 год</v>
          </cell>
          <cell r="H143" t="str">
            <v>2 год</v>
          </cell>
          <cell r="I143" t="str">
            <v>3 год</v>
          </cell>
          <cell r="J143" t="str">
            <v>4 год</v>
          </cell>
          <cell r="K143" t="str">
            <v>5 год</v>
          </cell>
          <cell r="L143" t="str">
            <v>6 год</v>
          </cell>
          <cell r="M143" t="str">
            <v>7 год</v>
          </cell>
          <cell r="N143" t="str">
            <v>8 год</v>
          </cell>
          <cell r="O143" t="str">
            <v>9 год</v>
          </cell>
          <cell r="P143" t="str">
            <v>10 год</v>
          </cell>
          <cell r="Q143" t="str">
            <v>11 год</v>
          </cell>
          <cell r="R143" t="str">
            <v>12 год</v>
          </cell>
          <cell r="S143" t="str">
            <v>13 год</v>
          </cell>
          <cell r="T143" t="str">
            <v>14 год</v>
          </cell>
          <cell r="U143" t="str">
            <v>15 год</v>
          </cell>
          <cell r="V143" t="str">
            <v>16 год</v>
          </cell>
          <cell r="W143" t="str">
            <v>17 год</v>
          </cell>
          <cell r="X143" t="str">
            <v>18 год</v>
          </cell>
          <cell r="Y143" t="str">
            <v>19 год</v>
          </cell>
          <cell r="Z143" t="str">
            <v>20 год</v>
          </cell>
          <cell r="AA143" t="str">
            <v>21 год</v>
          </cell>
          <cell r="AB143" t="str">
            <v>22 год</v>
          </cell>
          <cell r="AC143" t="str">
            <v>23 год</v>
          </cell>
          <cell r="AD143" t="str">
            <v>24 год</v>
          </cell>
          <cell r="AE143" t="str">
            <v>25 год</v>
          </cell>
          <cell r="AF143" t="str">
            <v>26 год</v>
          </cell>
          <cell r="AG143" t="str">
            <v>27 год</v>
          </cell>
          <cell r="AH143" t="str">
            <v>28 год</v>
          </cell>
          <cell r="AI143" t="str">
            <v>29 год</v>
          </cell>
          <cell r="AJ143" t="str">
            <v>30 год</v>
          </cell>
          <cell r="AL143" t="str">
            <v>ВСЕГО</v>
          </cell>
        </row>
        <row r="145">
          <cell r="A145" t="str">
            <v>Основной производственный персонал </v>
          </cell>
          <cell r="B145" t="str">
            <v>General staff</v>
          </cell>
        </row>
        <row r="146">
          <cell r="A146" t="str">
            <v>  Наименование 1</v>
          </cell>
          <cell r="B146" t="str">
            <v> Staff item</v>
          </cell>
        </row>
        <row r="147">
          <cell r="A147" t="str">
            <v> - численность</v>
          </cell>
          <cell r="B147" t="str">
            <v> - number of staff</v>
          </cell>
          <cell r="D147" t="str">
            <v>чел.</v>
          </cell>
          <cell r="E147" t="str">
            <v>chisl,on_end,del_str</v>
          </cell>
          <cell r="AL147" t="str">
            <v>-</v>
          </cell>
        </row>
        <row r="148">
          <cell r="A148" t="str">
            <v> - месячный оклад </v>
          </cell>
          <cell r="B148" t="str">
            <v> - monthly wages</v>
          </cell>
          <cell r="D148" t="str">
            <v>руб./мес.</v>
          </cell>
          <cell r="E148" t="str">
            <v>,on_end,del_str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L148" t="str">
            <v>-</v>
          </cell>
        </row>
        <row r="149">
          <cell r="A149" t="str">
            <v> - расходы на заработную плату</v>
          </cell>
          <cell r="B149" t="str">
            <v> - staff costs</v>
          </cell>
          <cell r="D149" t="str">
            <v>тыс.руб.</v>
          </cell>
          <cell r="E149" t="str">
            <v>zrpl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L149">
            <v>0</v>
          </cell>
        </row>
        <row r="150">
          <cell r="E150" t="str">
            <v>,del_str</v>
          </cell>
        </row>
        <row r="151">
          <cell r="A151" t="str">
            <v> = Численность основного производственного персонала</v>
          </cell>
          <cell r="B151" t="str">
            <v> = Total employed</v>
          </cell>
          <cell r="D151" t="str">
            <v>чел.</v>
          </cell>
          <cell r="E151" t="str">
            <v>,on_end,del_str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L151" t="str">
            <v>-</v>
          </cell>
        </row>
        <row r="152">
          <cell r="A152" t="str">
            <v> = Заработная плата основного производственного персонала</v>
          </cell>
          <cell r="B152" t="str">
            <v> = General staff costs</v>
          </cell>
          <cell r="D152" t="str">
            <v>тыс.руб.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</row>
        <row r="153">
          <cell r="A153" t="str">
            <v> = Отчисления на социальные нужды</v>
          </cell>
          <cell r="B153" t="str">
            <v> = Social needs surcharges</v>
          </cell>
          <cell r="D153" t="str">
            <v>тыс.руб.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L153">
            <v>0</v>
          </cell>
        </row>
        <row r="155">
          <cell r="A155" t="str">
            <v>Вспомогательный производственный персонал </v>
          </cell>
          <cell r="B155" t="str">
            <v>Auxiliary staff</v>
          </cell>
        </row>
        <row r="156">
          <cell r="A156" t="str">
            <v>  Наименование 1</v>
          </cell>
          <cell r="B156" t="str">
            <v> Staff item</v>
          </cell>
        </row>
        <row r="157">
          <cell r="A157" t="str">
            <v> - численность</v>
          </cell>
          <cell r="B157" t="str">
            <v> - number of staff</v>
          </cell>
          <cell r="D157" t="str">
            <v>чел.</v>
          </cell>
          <cell r="E157" t="str">
            <v>chisl,on_end,del_str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L157" t="str">
            <v>-</v>
          </cell>
        </row>
        <row r="158">
          <cell r="A158" t="str">
            <v> - месячный оклад </v>
          </cell>
          <cell r="B158" t="str">
            <v> - monthly wages</v>
          </cell>
          <cell r="D158" t="str">
            <v>руб./мес.</v>
          </cell>
          <cell r="E158" t="str">
            <v>,on_end,del_str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L158" t="str">
            <v>-</v>
          </cell>
        </row>
        <row r="159">
          <cell r="A159" t="str">
            <v> - расходы на заработную плату</v>
          </cell>
          <cell r="B159" t="str">
            <v> - staff costs</v>
          </cell>
          <cell r="D159" t="str">
            <v>тыс.руб.</v>
          </cell>
          <cell r="E159" t="str">
            <v>zrpl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</row>
        <row r="160">
          <cell r="E160" t="str">
            <v>,del_str</v>
          </cell>
        </row>
        <row r="161">
          <cell r="A161" t="str">
            <v> = Численность вспомогательного персонала</v>
          </cell>
          <cell r="B161" t="str">
            <v> = Total employed</v>
          </cell>
          <cell r="D161" t="str">
            <v>чел.</v>
          </cell>
          <cell r="E161" t="str">
            <v>,on_end,del_str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 t="str">
            <v>-</v>
          </cell>
        </row>
        <row r="162">
          <cell r="A162" t="str">
            <v> = Заработная плата вспомогательного персонала</v>
          </cell>
          <cell r="B162" t="str">
            <v> = Auxiliary staff costs</v>
          </cell>
          <cell r="D162" t="str">
            <v>тыс.руб.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L162">
            <v>0</v>
          </cell>
        </row>
        <row r="163">
          <cell r="A163" t="str">
            <v> = Отчисления на социальные нужды</v>
          </cell>
          <cell r="B163" t="str">
            <v> = Social needs surcharges</v>
          </cell>
          <cell r="D163" t="str">
            <v>тыс.руб.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</row>
        <row r="165">
          <cell r="A165" t="str">
            <v>Административно-управленческий персонал </v>
          </cell>
          <cell r="B165" t="str">
            <v>Managerial and administrative staff</v>
          </cell>
        </row>
        <row r="166">
          <cell r="A166" t="str">
            <v>  Наименование 1</v>
          </cell>
          <cell r="B166" t="str">
            <v> Staff item</v>
          </cell>
        </row>
        <row r="167">
          <cell r="A167" t="str">
            <v> - численность</v>
          </cell>
          <cell r="B167" t="str">
            <v> - number of staff</v>
          </cell>
          <cell r="D167" t="str">
            <v>чел.</v>
          </cell>
          <cell r="E167" t="str">
            <v>chisl,on_end,del_str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L167" t="str">
            <v>-</v>
          </cell>
        </row>
        <row r="168">
          <cell r="A168" t="str">
            <v> - месячный оклад </v>
          </cell>
          <cell r="B168" t="str">
            <v> - monthly wages</v>
          </cell>
          <cell r="D168" t="str">
            <v>руб./мес.</v>
          </cell>
          <cell r="E168" t="str">
            <v>,on_end,del_str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 t="str">
            <v>-</v>
          </cell>
        </row>
        <row r="169">
          <cell r="A169" t="str">
            <v> - расходы на заработную плату</v>
          </cell>
          <cell r="B169" t="str">
            <v> - staff costs</v>
          </cell>
          <cell r="D169" t="str">
            <v>тыс.руб.</v>
          </cell>
          <cell r="E169" t="str">
            <v>zrpl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</row>
        <row r="170">
          <cell r="E170" t="str">
            <v>,del_str</v>
          </cell>
        </row>
        <row r="171">
          <cell r="A171" t="str">
            <v> = Численность административно-управленческого персонала</v>
          </cell>
          <cell r="B171" t="str">
            <v> = Total employed</v>
          </cell>
          <cell r="D171" t="str">
            <v>чел.</v>
          </cell>
          <cell r="E171" t="str">
            <v>,on_end,del_str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L171" t="str">
            <v>-</v>
          </cell>
        </row>
        <row r="172">
          <cell r="A172" t="str">
            <v> = Заработная плата административно-управленческого персонала</v>
          </cell>
          <cell r="B172" t="str">
            <v> = Managerial and administrative staff costs</v>
          </cell>
          <cell r="D172" t="str">
            <v>тыс.руб.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L172">
            <v>0</v>
          </cell>
        </row>
        <row r="173">
          <cell r="A173" t="str">
            <v> = Отчисления на социальные нужды</v>
          </cell>
          <cell r="B173" t="str">
            <v> = Social needs surcharges</v>
          </cell>
          <cell r="D173" t="str">
            <v>тыс.руб.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L173">
            <v>0</v>
          </cell>
        </row>
        <row r="175">
          <cell r="A175" t="str">
            <v>Сбытовой персонал</v>
          </cell>
          <cell r="B175" t="str">
            <v>Sales and distribution staff</v>
          </cell>
        </row>
        <row r="176">
          <cell r="A176" t="str">
            <v>  Наименование 1</v>
          </cell>
          <cell r="B176" t="str">
            <v> Staff item</v>
          </cell>
        </row>
        <row r="177">
          <cell r="A177" t="str">
            <v> - численность</v>
          </cell>
          <cell r="B177" t="str">
            <v> - number of staff</v>
          </cell>
          <cell r="D177" t="str">
            <v>чел.</v>
          </cell>
          <cell r="E177" t="str">
            <v>chisl,on_end,del_str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L177" t="str">
            <v>-</v>
          </cell>
        </row>
        <row r="178">
          <cell r="A178" t="str">
            <v> - месячный оклад </v>
          </cell>
          <cell r="B178" t="str">
            <v> - monthly wages</v>
          </cell>
          <cell r="D178" t="str">
            <v>руб./мес.</v>
          </cell>
          <cell r="E178" t="str">
            <v>,on_end,del_str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L178" t="str">
            <v>-</v>
          </cell>
        </row>
        <row r="179">
          <cell r="A179" t="str">
            <v> - расходы на заработную плату</v>
          </cell>
          <cell r="B179" t="str">
            <v> - staff costs</v>
          </cell>
          <cell r="D179" t="str">
            <v>тыс.руб.</v>
          </cell>
          <cell r="E179" t="str">
            <v>zrpl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L179">
            <v>0</v>
          </cell>
        </row>
        <row r="180">
          <cell r="E180" t="str">
            <v>,del_str</v>
          </cell>
        </row>
        <row r="181">
          <cell r="A181" t="str">
            <v> = Численность сбытового персонала</v>
          </cell>
          <cell r="B181" t="str">
            <v> = Total employed</v>
          </cell>
          <cell r="D181" t="str">
            <v>чел.</v>
          </cell>
          <cell r="E181" t="str">
            <v>,on_end,del_str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L181" t="str">
            <v>-</v>
          </cell>
        </row>
        <row r="182">
          <cell r="A182" t="str">
            <v> = Заработная плата сбытового персонала</v>
          </cell>
          <cell r="B182" t="str">
            <v> = Sales and distribution staff costs</v>
          </cell>
          <cell r="D182" t="str">
            <v>тыс.руб.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L182">
            <v>0</v>
          </cell>
        </row>
        <row r="183">
          <cell r="A183" t="str">
            <v> = Отчисления на социальные нужды</v>
          </cell>
          <cell r="B183" t="str">
            <v> = Social needs surcharges</v>
          </cell>
          <cell r="D183" t="str">
            <v>тыс.руб.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L183">
            <v>0</v>
          </cell>
        </row>
        <row r="186">
          <cell r="A186" t="str">
            <v> == Итого численность</v>
          </cell>
          <cell r="B186" t="str">
            <v> == Total employed</v>
          </cell>
          <cell r="D186" t="str">
            <v>чел.</v>
          </cell>
          <cell r="E186" t="str">
            <v>,on_end,del_str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L186" t="str">
            <v>-</v>
          </cell>
        </row>
        <row r="187">
          <cell r="A187" t="str">
            <v> == Итого расходы на зарплату</v>
          </cell>
          <cell r="B187" t="str">
            <v> == Labour costs</v>
          </cell>
          <cell r="D187" t="str">
            <v>тыс.руб.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L187">
            <v>0</v>
          </cell>
        </row>
        <row r="188">
          <cell r="A188" t="str">
            <v> == Итого отчисления на социальные нужды</v>
          </cell>
          <cell r="B188" t="str">
            <v> == Social needs surcharges</v>
          </cell>
          <cell r="D188" t="str">
            <v>тыс.руб.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L188">
            <v>0</v>
          </cell>
        </row>
        <row r="192">
          <cell r="A192" t="str">
            <v>Цт=максимальные Постоянные цены</v>
          </cell>
          <cell r="B192" t="str">
            <v>Цт=максимальные Постоянные цены</v>
          </cell>
          <cell r="AL192" t="str">
            <v>АЛЬТ-Инвест™ 3.0</v>
          </cell>
        </row>
        <row r="193">
          <cell r="A193" t="str">
            <v>СЕБЕСТОИМОСТЬ</v>
          </cell>
          <cell r="B193" t="str">
            <v>COSTS OF PRODUCT SOLD</v>
          </cell>
          <cell r="F193" t="str">
            <v>"0"</v>
          </cell>
          <cell r="G193" t="str">
            <v>1 год</v>
          </cell>
          <cell r="H193" t="str">
            <v>2 год</v>
          </cell>
          <cell r="I193" t="str">
            <v>3 год</v>
          </cell>
          <cell r="J193" t="str">
            <v>4 год</v>
          </cell>
          <cell r="K193" t="str">
            <v>5 год</v>
          </cell>
          <cell r="L193" t="str">
            <v>6 год</v>
          </cell>
          <cell r="M193" t="str">
            <v>7 год</v>
          </cell>
          <cell r="N193" t="str">
            <v>8 год</v>
          </cell>
          <cell r="O193" t="str">
            <v>9 год</v>
          </cell>
          <cell r="P193" t="str">
            <v>10 год</v>
          </cell>
          <cell r="Q193" t="str">
            <v>11 год</v>
          </cell>
          <cell r="R193" t="str">
            <v>12 год</v>
          </cell>
          <cell r="S193" t="str">
            <v>13 год</v>
          </cell>
          <cell r="T193" t="str">
            <v>14 год</v>
          </cell>
          <cell r="U193" t="str">
            <v>15 год</v>
          </cell>
          <cell r="V193" t="str">
            <v>16 год</v>
          </cell>
          <cell r="W193" t="str">
            <v>17 год</v>
          </cell>
          <cell r="X193" t="str">
            <v>18 год</v>
          </cell>
          <cell r="Y193" t="str">
            <v>19 год</v>
          </cell>
          <cell r="Z193" t="str">
            <v>20 год</v>
          </cell>
          <cell r="AA193" t="str">
            <v>21 год</v>
          </cell>
          <cell r="AB193" t="str">
            <v>22 год</v>
          </cell>
          <cell r="AC193" t="str">
            <v>23 год</v>
          </cell>
          <cell r="AD193" t="str">
            <v>24 год</v>
          </cell>
          <cell r="AE193" t="str">
            <v>25 год</v>
          </cell>
          <cell r="AF193" t="str">
            <v>26 год</v>
          </cell>
          <cell r="AG193" t="str">
            <v>27 год</v>
          </cell>
          <cell r="AH193" t="str">
            <v>28 год</v>
          </cell>
          <cell r="AI193" t="str">
            <v>29 год</v>
          </cell>
          <cell r="AJ193" t="str">
            <v>30 год</v>
          </cell>
          <cell r="AL193" t="str">
            <v>ВСЕГО</v>
          </cell>
        </row>
        <row r="195">
          <cell r="A195" t="str">
            <v>Затраты на топливо</v>
          </cell>
          <cell r="B195" t="str">
            <v> = Raw material &amp; supplies </v>
          </cell>
          <cell r="D195" t="str">
            <v>тыс.руб.</v>
          </cell>
          <cell r="G195">
            <v>0</v>
          </cell>
          <cell r="H195">
            <v>85205.32019999999</v>
          </cell>
          <cell r="I195">
            <v>102098.84255999999</v>
          </cell>
          <cell r="J195">
            <v>119582.53163999999</v>
          </cell>
          <cell r="K195">
            <v>137066.22072</v>
          </cell>
          <cell r="L195">
            <v>154549.9098</v>
          </cell>
          <cell r="M195">
            <v>166692.590064</v>
          </cell>
          <cell r="N195">
            <v>178835.27032799998</v>
          </cell>
          <cell r="O195">
            <v>190977.95059199995</v>
          </cell>
          <cell r="P195">
            <v>203120.63085599995</v>
          </cell>
          <cell r="Q195">
            <v>215263.31111999997</v>
          </cell>
          <cell r="R195">
            <v>229456.82073599997</v>
          </cell>
          <cell r="S195">
            <v>243650.33035199996</v>
          </cell>
          <cell r="T195">
            <v>257843.839968</v>
          </cell>
          <cell r="U195">
            <v>272037.349584</v>
          </cell>
          <cell r="V195">
            <v>272037.349584</v>
          </cell>
          <cell r="W195">
            <v>272037.349584</v>
          </cell>
          <cell r="X195">
            <v>272037.349584</v>
          </cell>
          <cell r="Y195">
            <v>272037.349584</v>
          </cell>
          <cell r="Z195">
            <v>272037.349584</v>
          </cell>
          <cell r="AA195">
            <v>272037.349584</v>
          </cell>
          <cell r="AB195">
            <v>272037.349584</v>
          </cell>
          <cell r="AC195">
            <v>272037.349584</v>
          </cell>
          <cell r="AD195">
            <v>272037.349584</v>
          </cell>
          <cell r="AE195">
            <v>272037.349584</v>
          </cell>
          <cell r="AF195">
            <v>272037.349584</v>
          </cell>
          <cell r="AG195">
            <v>272037.349584</v>
          </cell>
          <cell r="AH195">
            <v>272037.349584</v>
          </cell>
          <cell r="AI195">
            <v>272037.349584</v>
          </cell>
          <cell r="AJ195">
            <v>272037.349584</v>
          </cell>
          <cell r="AL195">
            <v>6636941.162280003</v>
          </cell>
        </row>
        <row r="196">
          <cell r="A196" t="str">
            <v> - местная валюта</v>
          </cell>
          <cell r="B196" t="str">
            <v> - in local currency</v>
          </cell>
          <cell r="D196" t="str">
            <v>тыс.руб.</v>
          </cell>
          <cell r="G196">
            <v>0</v>
          </cell>
          <cell r="H196">
            <v>85205.32019999999</v>
          </cell>
          <cell r="I196">
            <v>102098.84255999999</v>
          </cell>
          <cell r="J196">
            <v>119582.53163999999</v>
          </cell>
          <cell r="K196">
            <v>137066.22072</v>
          </cell>
          <cell r="L196">
            <v>154549.9098</v>
          </cell>
          <cell r="M196">
            <v>166692.590064</v>
          </cell>
          <cell r="N196">
            <v>178835.27032799998</v>
          </cell>
          <cell r="O196">
            <v>190977.95059199995</v>
          </cell>
          <cell r="P196">
            <v>203120.63085599995</v>
          </cell>
          <cell r="Q196">
            <v>215263.31111999997</v>
          </cell>
          <cell r="R196">
            <v>229456.82073599997</v>
          </cell>
          <cell r="S196">
            <v>243650.33035199996</v>
          </cell>
          <cell r="T196">
            <v>257843.839968</v>
          </cell>
          <cell r="U196">
            <v>272037.349584</v>
          </cell>
          <cell r="V196">
            <v>272037.349584</v>
          </cell>
          <cell r="W196">
            <v>272037.349584</v>
          </cell>
          <cell r="X196">
            <v>272037.349584</v>
          </cell>
          <cell r="Y196">
            <v>272037.349584</v>
          </cell>
          <cell r="Z196">
            <v>272037.349584</v>
          </cell>
          <cell r="AA196">
            <v>272037.349584</v>
          </cell>
          <cell r="AB196">
            <v>272037.349584</v>
          </cell>
          <cell r="AC196">
            <v>272037.349584</v>
          </cell>
          <cell r="AD196">
            <v>272037.349584</v>
          </cell>
          <cell r="AE196">
            <v>272037.349584</v>
          </cell>
          <cell r="AF196">
            <v>272037.349584</v>
          </cell>
          <cell r="AG196">
            <v>272037.349584</v>
          </cell>
          <cell r="AH196">
            <v>272037.349584</v>
          </cell>
          <cell r="AI196">
            <v>272037.349584</v>
          </cell>
          <cell r="AJ196">
            <v>272037.349584</v>
          </cell>
          <cell r="AL196">
            <v>6636941.162280003</v>
          </cell>
        </row>
        <row r="197">
          <cell r="A197" t="str">
            <v> - иностранная валюта</v>
          </cell>
          <cell r="B197" t="str">
            <v> - in foreign currency</v>
          </cell>
          <cell r="D197" t="str">
            <v>тыс.долл.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L197">
            <v>0</v>
          </cell>
        </row>
        <row r="199">
          <cell r="A199" t="str">
            <v>Постоянные затраты</v>
          </cell>
          <cell r="B199" t="str">
            <v>Factory overhead costs</v>
          </cell>
          <cell r="C199" t="str">
            <v>Темп инфляции</v>
          </cell>
          <cell r="G199">
            <v>1</v>
          </cell>
          <cell r="H199">
            <v>1.095</v>
          </cell>
          <cell r="I199">
            <v>1.188</v>
          </cell>
          <cell r="J199">
            <v>1.259</v>
          </cell>
          <cell r="K199">
            <v>1.31</v>
          </cell>
          <cell r="L199">
            <v>1.362</v>
          </cell>
          <cell r="M199">
            <v>1.4028600000000002</v>
          </cell>
          <cell r="N199">
            <v>1.4449458000000002</v>
          </cell>
          <cell r="O199">
            <v>1.4882941740000002</v>
          </cell>
          <cell r="P199">
            <v>1.5329429992200003</v>
          </cell>
          <cell r="Q199">
            <v>1.5789312891966003</v>
          </cell>
          <cell r="R199">
            <v>1.6262992278724984</v>
          </cell>
          <cell r="S199">
            <v>1.6750882047086733</v>
          </cell>
          <cell r="T199">
            <v>1.7253408508499335</v>
          </cell>
          <cell r="U199">
            <v>1.7771010763754316</v>
          </cell>
          <cell r="V199">
            <v>1.8304141086666945</v>
          </cell>
          <cell r="W199">
            <v>1.8853265319266954</v>
          </cell>
          <cell r="X199">
            <v>1.9418863278844962</v>
          </cell>
          <cell r="Y199">
            <v>2.000142917721031</v>
          </cell>
          <cell r="Z199">
            <v>2.060147205252662</v>
          </cell>
          <cell r="AA199">
            <v>2.121951621410242</v>
          </cell>
          <cell r="AB199">
            <v>2.1856101700525494</v>
          </cell>
          <cell r="AC199">
            <v>2.251178475154126</v>
          </cell>
          <cell r="AD199">
            <v>2.31871382940875</v>
          </cell>
          <cell r="AE199">
            <v>2.3882752442910125</v>
          </cell>
          <cell r="AF199">
            <v>2.459923501619743</v>
          </cell>
          <cell r="AG199">
            <v>2.5337212066683352</v>
          </cell>
          <cell r="AH199">
            <v>2.6097328428683855</v>
          </cell>
          <cell r="AI199">
            <v>2.688024828154437</v>
          </cell>
          <cell r="AJ199">
            <v>2.7686655729990703</v>
          </cell>
        </row>
        <row r="200">
          <cell r="A200" t="str">
            <v> = Итого постоянные затраты</v>
          </cell>
          <cell r="B200" t="str">
            <v> = Total factory overhead costs</v>
          </cell>
          <cell r="D200" t="str">
            <v>тыс.руб.</v>
          </cell>
          <cell r="G200">
            <v>0</v>
          </cell>
          <cell r="H200">
            <v>19381.5</v>
          </cell>
          <cell r="I200">
            <v>21027.6</v>
          </cell>
          <cell r="J200">
            <v>22284.3</v>
          </cell>
          <cell r="K200">
            <v>23187</v>
          </cell>
          <cell r="L200">
            <v>24107.4</v>
          </cell>
          <cell r="M200">
            <v>24830.622000000003</v>
          </cell>
          <cell r="N200">
            <v>25575.540660000002</v>
          </cell>
          <cell r="O200">
            <v>26342.806879800002</v>
          </cell>
          <cell r="P200">
            <v>27133.091086194006</v>
          </cell>
          <cell r="Q200">
            <v>27947.083818779825</v>
          </cell>
          <cell r="R200">
            <v>28785.49633334322</v>
          </cell>
          <cell r="S200">
            <v>29649.061223343517</v>
          </cell>
          <cell r="T200">
            <v>30538.533060043825</v>
          </cell>
          <cell r="U200">
            <v>31454.68905184514</v>
          </cell>
          <cell r="V200">
            <v>32398.329723400493</v>
          </cell>
          <cell r="W200">
            <v>33370.27961510251</v>
          </cell>
          <cell r="X200">
            <v>34371.388003555585</v>
          </cell>
          <cell r="Y200">
            <v>35402.52964366225</v>
          </cell>
          <cell r="Z200">
            <v>36464.60553297212</v>
          </cell>
          <cell r="AA200">
            <v>37558.543698961286</v>
          </cell>
          <cell r="AB200">
            <v>38685.30000993013</v>
          </cell>
          <cell r="AC200">
            <v>39845.859010228036</v>
          </cell>
          <cell r="AD200">
            <v>41041.234780534876</v>
          </cell>
          <cell r="AE200">
            <v>42272.471823950924</v>
          </cell>
          <cell r="AF200">
            <v>43540.64597866945</v>
          </cell>
          <cell r="AG200">
            <v>44846.865358029536</v>
          </cell>
          <cell r="AH200">
            <v>46192.27131877042</v>
          </cell>
          <cell r="AI200">
            <v>47578.03945833354</v>
          </cell>
          <cell r="AJ200">
            <v>49005.380642083546</v>
          </cell>
          <cell r="AL200">
            <v>964818.4687115342</v>
          </cell>
        </row>
        <row r="201">
          <cell r="A201" t="str">
            <v> = НДС к затратам</v>
          </cell>
          <cell r="B201" t="str">
            <v> = VAT to factory overhead costs</v>
          </cell>
          <cell r="C201">
            <v>0.18</v>
          </cell>
          <cell r="D201" t="str">
            <v>тыс.руб.</v>
          </cell>
          <cell r="G201">
            <v>0</v>
          </cell>
          <cell r="H201">
            <v>3488.67</v>
          </cell>
          <cell r="I201">
            <v>3784.9679999999994</v>
          </cell>
          <cell r="J201">
            <v>4011.1739999999995</v>
          </cell>
          <cell r="K201">
            <v>4173.66</v>
          </cell>
          <cell r="L201">
            <v>4339.332</v>
          </cell>
          <cell r="M201">
            <v>4469.511960000001</v>
          </cell>
          <cell r="N201">
            <v>4603.5973188</v>
          </cell>
          <cell r="O201">
            <v>4741.705238364</v>
          </cell>
          <cell r="P201">
            <v>4883.956395514921</v>
          </cell>
          <cell r="Q201">
            <v>5030.475087380369</v>
          </cell>
          <cell r="R201">
            <v>5181.38934000178</v>
          </cell>
          <cell r="S201">
            <v>5336.831020201833</v>
          </cell>
          <cell r="T201">
            <v>5496.935950807888</v>
          </cell>
          <cell r="U201">
            <v>5661.844029332125</v>
          </cell>
          <cell r="V201">
            <v>5831.699350212089</v>
          </cell>
          <cell r="W201">
            <v>6006.650330718452</v>
          </cell>
          <cell r="X201">
            <v>6186.849840640005</v>
          </cell>
          <cell r="Y201">
            <v>6372.455335859205</v>
          </cell>
          <cell r="Z201">
            <v>6563.6289959349815</v>
          </cell>
          <cell r="AA201">
            <v>6760.537865813031</v>
          </cell>
          <cell r="AB201">
            <v>6963.354001787423</v>
          </cell>
          <cell r="AC201">
            <v>7172.254621841046</v>
          </cell>
          <cell r="AD201">
            <v>7387.422260496278</v>
          </cell>
          <cell r="AE201">
            <v>7609.044928311166</v>
          </cell>
          <cell r="AF201">
            <v>7837.3162761605</v>
          </cell>
          <cell r="AG201">
            <v>8072.435764445316</v>
          </cell>
          <cell r="AH201">
            <v>8314.608837378675</v>
          </cell>
          <cell r="AI201">
            <v>8564.047102500037</v>
          </cell>
          <cell r="AJ201">
            <v>8820.968515575038</v>
          </cell>
          <cell r="AL201">
            <v>173667.32436807617</v>
          </cell>
        </row>
        <row r="203">
          <cell r="A203" t="str">
            <v>Ремонтные затраты</v>
          </cell>
          <cell r="B203" t="str">
            <v>Other operating overhead costs</v>
          </cell>
        </row>
        <row r="204">
          <cell r="A204" t="str">
            <v> = Итого ремонтные затраты</v>
          </cell>
          <cell r="B204" t="str">
            <v> = Total factory overhead costs</v>
          </cell>
          <cell r="D204" t="str">
            <v>тыс.руб.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L204">
            <v>0</v>
          </cell>
        </row>
        <row r="205">
          <cell r="A205" t="str">
            <v> = НДС к затратам</v>
          </cell>
          <cell r="B205" t="str">
            <v> = VAT to other operating overhead costs</v>
          </cell>
          <cell r="C205">
            <v>0.18</v>
          </cell>
          <cell r="D205" t="str">
            <v>тыс.руб.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L205">
            <v>0</v>
          </cell>
        </row>
        <row r="207">
          <cell r="A207" t="str">
            <v> =Всего эксплуатационные расходы</v>
          </cell>
          <cell r="B207" t="str">
            <v> = Operating costs</v>
          </cell>
          <cell r="D207" t="str">
            <v>тыс.руб.</v>
          </cell>
          <cell r="G207">
            <v>0</v>
          </cell>
          <cell r="H207">
            <v>104586.82019999999</v>
          </cell>
          <cell r="I207">
            <v>123126.44256</v>
          </cell>
          <cell r="J207">
            <v>141866.83164</v>
          </cell>
          <cell r="K207">
            <v>160253.22072</v>
          </cell>
          <cell r="L207">
            <v>178657.3098</v>
          </cell>
          <cell r="M207">
            <v>191523.212064</v>
          </cell>
          <cell r="N207">
            <v>204410.81098799998</v>
          </cell>
          <cell r="O207">
            <v>217320.75747179997</v>
          </cell>
          <cell r="P207">
            <v>230253.72194219395</v>
          </cell>
          <cell r="Q207">
            <v>243210.3949387798</v>
          </cell>
          <cell r="R207">
            <v>258242.31706934317</v>
          </cell>
          <cell r="S207">
            <v>273299.3915753435</v>
          </cell>
          <cell r="T207">
            <v>288382.37302804383</v>
          </cell>
          <cell r="U207">
            <v>303492.0386358452</v>
          </cell>
          <cell r="V207">
            <v>304435.6793074005</v>
          </cell>
          <cell r="W207">
            <v>305407.6291991025</v>
          </cell>
          <cell r="X207">
            <v>306408.7375875556</v>
          </cell>
          <cell r="Y207">
            <v>307439.8792276623</v>
          </cell>
          <cell r="Z207">
            <v>308501.95511697215</v>
          </cell>
          <cell r="AA207">
            <v>309595.8932829613</v>
          </cell>
          <cell r="AB207">
            <v>310722.6495939301</v>
          </cell>
          <cell r="AC207">
            <v>311883.208594228</v>
          </cell>
          <cell r="AD207">
            <v>313078.5843645349</v>
          </cell>
          <cell r="AE207">
            <v>314309.82140795095</v>
          </cell>
          <cell r="AF207">
            <v>315577.9955626695</v>
          </cell>
          <cell r="AG207">
            <v>316884.21494202956</v>
          </cell>
          <cell r="AH207">
            <v>318229.62090277043</v>
          </cell>
          <cell r="AI207">
            <v>319615.3890423335</v>
          </cell>
          <cell r="AJ207">
            <v>321042.73022608354</v>
          </cell>
          <cell r="AL207">
            <v>7601759.630991534</v>
          </cell>
        </row>
        <row r="208">
          <cell r="A208" t="str">
            <v> - местная валюта</v>
          </cell>
          <cell r="B208" t="str">
            <v> - in local currency</v>
          </cell>
          <cell r="D208" t="str">
            <v>тыс.руб.</v>
          </cell>
          <cell r="G208">
            <v>0</v>
          </cell>
          <cell r="H208">
            <v>104586.82019999999</v>
          </cell>
          <cell r="I208">
            <v>123126.44256</v>
          </cell>
          <cell r="J208">
            <v>141866.83164</v>
          </cell>
          <cell r="K208">
            <v>160253.22072</v>
          </cell>
          <cell r="L208">
            <v>178657.3098</v>
          </cell>
          <cell r="M208">
            <v>191523.212064</v>
          </cell>
          <cell r="N208">
            <v>204410.81098799998</v>
          </cell>
          <cell r="O208">
            <v>217320.75747179997</v>
          </cell>
          <cell r="P208">
            <v>230253.72194219395</v>
          </cell>
          <cell r="Q208">
            <v>243210.3949387798</v>
          </cell>
          <cell r="R208">
            <v>258242.31706934317</v>
          </cell>
          <cell r="S208">
            <v>273299.3915753435</v>
          </cell>
          <cell r="T208">
            <v>288382.37302804383</v>
          </cell>
          <cell r="U208">
            <v>303492.0386358452</v>
          </cell>
          <cell r="V208">
            <v>304435.6793074005</v>
          </cell>
          <cell r="W208">
            <v>305407.6291991025</v>
          </cell>
          <cell r="X208">
            <v>306408.7375875556</v>
          </cell>
          <cell r="Y208">
            <v>307439.8792276623</v>
          </cell>
          <cell r="Z208">
            <v>308501.95511697215</v>
          </cell>
          <cell r="AA208">
            <v>309595.8932829613</v>
          </cell>
          <cell r="AB208">
            <v>310722.6495939301</v>
          </cell>
          <cell r="AC208">
            <v>311883.208594228</v>
          </cell>
          <cell r="AD208">
            <v>313078.5843645349</v>
          </cell>
          <cell r="AE208">
            <v>314309.82140795095</v>
          </cell>
          <cell r="AF208">
            <v>315577.9955626695</v>
          </cell>
          <cell r="AG208">
            <v>316884.21494202956</v>
          </cell>
          <cell r="AH208">
            <v>318229.62090277043</v>
          </cell>
          <cell r="AI208">
            <v>319615.3890423335</v>
          </cell>
          <cell r="AJ208">
            <v>321042.73022608354</v>
          </cell>
          <cell r="AL208">
            <v>7601759.630991534</v>
          </cell>
        </row>
        <row r="209">
          <cell r="A209" t="str">
            <v> - иностранная валюта</v>
          </cell>
          <cell r="B209" t="str">
            <v> - in foreign currency</v>
          </cell>
          <cell r="D209" t="str">
            <v>тыс.долл.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L209">
            <v>0</v>
          </cell>
        </row>
        <row r="211">
          <cell r="A211" t="str">
            <v>Амортизационные отчисления</v>
          </cell>
          <cell r="B211" t="str">
            <v>Deprecation</v>
          </cell>
          <cell r="D211" t="str">
            <v>тыс.руб.</v>
          </cell>
          <cell r="G211">
            <v>0</v>
          </cell>
          <cell r="H211">
            <v>4388.1963</v>
          </cell>
          <cell r="I211">
            <v>4388.1963</v>
          </cell>
          <cell r="J211">
            <v>4388.1963</v>
          </cell>
          <cell r="K211">
            <v>4388.1963</v>
          </cell>
          <cell r="L211">
            <v>4388.1963</v>
          </cell>
          <cell r="M211">
            <v>4388.1963</v>
          </cell>
          <cell r="N211">
            <v>4388.1963</v>
          </cell>
          <cell r="O211">
            <v>4388.1963</v>
          </cell>
          <cell r="P211">
            <v>4388.1963</v>
          </cell>
          <cell r="Q211">
            <v>4388.1963</v>
          </cell>
          <cell r="R211">
            <v>4388.1963</v>
          </cell>
          <cell r="S211">
            <v>4388.1963</v>
          </cell>
          <cell r="T211">
            <v>4388.1963</v>
          </cell>
          <cell r="U211">
            <v>4388.1963</v>
          </cell>
          <cell r="V211">
            <v>4388.1963</v>
          </cell>
          <cell r="W211">
            <v>4388.1963</v>
          </cell>
          <cell r="X211">
            <v>4388.1963</v>
          </cell>
          <cell r="Y211">
            <v>4388.1963</v>
          </cell>
          <cell r="Z211">
            <v>4388.1963</v>
          </cell>
          <cell r="AA211">
            <v>4388.1963</v>
          </cell>
          <cell r="AB211">
            <v>4388.1963</v>
          </cell>
          <cell r="AC211">
            <v>4388.1963</v>
          </cell>
          <cell r="AD211">
            <v>4388.1963</v>
          </cell>
          <cell r="AE211">
            <v>4388.1963</v>
          </cell>
          <cell r="AF211">
            <v>4388.1963</v>
          </cell>
          <cell r="AG211">
            <v>4388.1963</v>
          </cell>
          <cell r="AH211">
            <v>4388.1963</v>
          </cell>
          <cell r="AI211">
            <v>118.59990000007383</v>
          </cell>
          <cell r="AJ211">
            <v>0</v>
          </cell>
          <cell r="AL211">
            <v>118599.9</v>
          </cell>
        </row>
        <row r="213">
          <cell r="A213" t="str">
            <v>Лизинговые платежи (начисленные)</v>
          </cell>
          <cell r="B213" t="str">
            <v>Leasing payments (charged)</v>
          </cell>
          <cell r="D213" t="str">
            <v>тыс.руб.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L213">
            <v>0</v>
          </cell>
        </row>
        <row r="215">
          <cell r="A215" t="str">
            <v>Проценты за кредиты, включаемые в себестоимость</v>
          </cell>
          <cell r="B215" t="str">
            <v>Interest included in tax-free production costs</v>
          </cell>
          <cell r="D215" t="str">
            <v>тыс.руб.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L215">
            <v>0</v>
          </cell>
        </row>
        <row r="216">
          <cell r="A216" t="str">
            <v> - местная валюта</v>
          </cell>
          <cell r="B216" t="str">
            <v> - local currency</v>
          </cell>
          <cell r="D216" t="str">
            <v>тыс.руб.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L216">
            <v>0</v>
          </cell>
        </row>
        <row r="217">
          <cell r="A217" t="str">
            <v> - иностранная валюта</v>
          </cell>
          <cell r="B217" t="str">
            <v> - foreign currency</v>
          </cell>
          <cell r="D217" t="str">
            <v>тыс.долл.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L217">
            <v>0</v>
          </cell>
        </row>
        <row r="219">
          <cell r="A219" t="str">
            <v>Налоги, относимые на себестоимость</v>
          </cell>
          <cell r="B219" t="str">
            <v>The taxes, refered on the cost price</v>
          </cell>
          <cell r="D219" t="str">
            <v>тыс.руб.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L219">
            <v>0</v>
          </cell>
        </row>
        <row r="221">
          <cell r="A221" t="str">
            <v> = Производственная себестоимость</v>
          </cell>
          <cell r="B221" t="str">
            <v> = Production costs</v>
          </cell>
          <cell r="D221" t="str">
            <v>тыс.руб.</v>
          </cell>
          <cell r="G221">
            <v>0</v>
          </cell>
          <cell r="H221">
            <v>108975.01649999998</v>
          </cell>
          <cell r="I221">
            <v>127514.63885999999</v>
          </cell>
          <cell r="J221">
            <v>146255.02794</v>
          </cell>
          <cell r="K221">
            <v>164641.41702000002</v>
          </cell>
          <cell r="L221">
            <v>183045.5061</v>
          </cell>
          <cell r="M221">
            <v>195911.408364</v>
          </cell>
          <cell r="N221">
            <v>208799.007288</v>
          </cell>
          <cell r="O221">
            <v>221708.95377179998</v>
          </cell>
          <cell r="P221">
            <v>234641.91824219396</v>
          </cell>
          <cell r="Q221">
            <v>247598.5912387798</v>
          </cell>
          <cell r="R221">
            <v>262630.5133693432</v>
          </cell>
          <cell r="S221">
            <v>277687.5878753435</v>
          </cell>
          <cell r="T221">
            <v>292770.56932804384</v>
          </cell>
          <cell r="U221">
            <v>307880.2349358452</v>
          </cell>
          <cell r="V221">
            <v>308823.8756074005</v>
          </cell>
          <cell r="W221">
            <v>309795.82549910253</v>
          </cell>
          <cell r="X221">
            <v>310796.9338875556</v>
          </cell>
          <cell r="Y221">
            <v>311828.0755276623</v>
          </cell>
          <cell r="Z221">
            <v>312890.15141697216</v>
          </cell>
          <cell r="AA221">
            <v>313984.0895829613</v>
          </cell>
          <cell r="AB221">
            <v>315110.8458939301</v>
          </cell>
          <cell r="AC221">
            <v>316271.40489422804</v>
          </cell>
          <cell r="AD221">
            <v>317466.7806645349</v>
          </cell>
          <cell r="AE221">
            <v>318698.01770795096</v>
          </cell>
          <cell r="AF221">
            <v>319966.1918626695</v>
          </cell>
          <cell r="AG221">
            <v>321272.4112420296</v>
          </cell>
          <cell r="AH221">
            <v>322617.81720277044</v>
          </cell>
          <cell r="AI221">
            <v>319733.9889423336</v>
          </cell>
          <cell r="AJ221">
            <v>321042.73022608354</v>
          </cell>
          <cell r="AL221">
            <v>7720359.530991535</v>
          </cell>
        </row>
        <row r="222">
          <cell r="A222" t="str">
            <v> - местная валюта</v>
          </cell>
          <cell r="B222" t="str">
            <v> - in local currency</v>
          </cell>
          <cell r="D222" t="str">
            <v>тыс.руб.</v>
          </cell>
          <cell r="G222">
            <v>0</v>
          </cell>
          <cell r="H222">
            <v>108975.01649999998</v>
          </cell>
          <cell r="I222">
            <v>127514.63885999999</v>
          </cell>
          <cell r="J222">
            <v>146255.02794</v>
          </cell>
          <cell r="K222">
            <v>164641.41702000002</v>
          </cell>
          <cell r="L222">
            <v>183045.5061</v>
          </cell>
          <cell r="M222">
            <v>195911.408364</v>
          </cell>
          <cell r="N222">
            <v>208799.007288</v>
          </cell>
          <cell r="O222">
            <v>221708.95377179998</v>
          </cell>
          <cell r="P222">
            <v>234641.91824219396</v>
          </cell>
          <cell r="Q222">
            <v>247598.5912387798</v>
          </cell>
          <cell r="R222">
            <v>262630.5133693432</v>
          </cell>
          <cell r="S222">
            <v>277687.5878753435</v>
          </cell>
          <cell r="T222">
            <v>292770.56932804384</v>
          </cell>
          <cell r="U222">
            <v>307880.2349358452</v>
          </cell>
          <cell r="V222">
            <v>308823.8756074005</v>
          </cell>
          <cell r="W222">
            <v>309795.82549910253</v>
          </cell>
          <cell r="X222">
            <v>310796.9338875556</v>
          </cell>
          <cell r="Y222">
            <v>311828.0755276623</v>
          </cell>
          <cell r="Z222">
            <v>312890.15141697216</v>
          </cell>
          <cell r="AA222">
            <v>313984.0895829613</v>
          </cell>
          <cell r="AB222">
            <v>315110.8458939301</v>
          </cell>
          <cell r="AC222">
            <v>316271.40489422804</v>
          </cell>
          <cell r="AD222">
            <v>317466.7806645349</v>
          </cell>
          <cell r="AE222">
            <v>318698.01770795096</v>
          </cell>
          <cell r="AF222">
            <v>319966.1918626695</v>
          </cell>
          <cell r="AG222">
            <v>321272.4112420296</v>
          </cell>
          <cell r="AH222">
            <v>322617.81720277044</v>
          </cell>
          <cell r="AI222">
            <v>319733.9889423336</v>
          </cell>
          <cell r="AJ222">
            <v>321042.73022608354</v>
          </cell>
          <cell r="AL222">
            <v>7720359.530991535</v>
          </cell>
        </row>
        <row r="223">
          <cell r="A223" t="str">
            <v> - иностранная валюта</v>
          </cell>
          <cell r="B223" t="str">
            <v> - in foreign currency</v>
          </cell>
          <cell r="D223" t="str">
            <v>тыс.долл.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L223">
            <v>0</v>
          </cell>
        </row>
        <row r="225">
          <cell r="A225" t="str">
            <v>Коммерческие расходы</v>
          </cell>
          <cell r="B225" t="str">
            <v>Marketing costs</v>
          </cell>
        </row>
        <row r="226">
          <cell r="A226" t="str">
            <v>Зарплата сбытового персонала</v>
          </cell>
          <cell r="B226" t="str">
            <v>Sales and distribution staff costs</v>
          </cell>
          <cell r="D226" t="str">
            <v>тыс.руб.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L226">
            <v>0</v>
          </cell>
        </row>
        <row r="227">
          <cell r="A227" t="str">
            <v>Отчисления на социальные нужды</v>
          </cell>
          <cell r="B227" t="str">
            <v>Social needs surcharges</v>
          </cell>
          <cell r="D227" t="str">
            <v>тыс.руб.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L227">
            <v>0</v>
          </cell>
        </row>
        <row r="228">
          <cell r="A228" t="str">
            <v> - наименование расходов</v>
          </cell>
          <cell r="B228" t="str">
            <v> - other marketing costs</v>
          </cell>
          <cell r="C228">
            <v>0</v>
          </cell>
          <cell r="D228" t="str">
            <v>тыс.руб.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L228">
            <v>0</v>
          </cell>
        </row>
        <row r="229">
          <cell r="A229" t="str">
            <v> = Итого коммерческих расходов</v>
          </cell>
          <cell r="B229" t="str">
            <v> = Total marketing costs</v>
          </cell>
          <cell r="D229" t="str">
            <v>тыс.руб.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L229">
            <v>0</v>
          </cell>
        </row>
        <row r="230">
          <cell r="A230" t="str">
            <v> = НДС к коммерческим расходам</v>
          </cell>
          <cell r="B230" t="str">
            <v> = VAT to marketing costs</v>
          </cell>
          <cell r="C230">
            <v>0.18</v>
          </cell>
          <cell r="D230" t="str">
            <v>тыс.руб.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L230">
            <v>0</v>
          </cell>
        </row>
        <row r="232">
          <cell r="A232" t="str">
            <v> = Полная себестоимость</v>
          </cell>
          <cell r="B232" t="str">
            <v> = Costs of product sold</v>
          </cell>
          <cell r="D232" t="str">
            <v>тыс.руб.</v>
          </cell>
          <cell r="G232">
            <v>0</v>
          </cell>
          <cell r="H232">
            <v>108975.01649999998</v>
          </cell>
          <cell r="I232">
            <v>127514.63885999999</v>
          </cell>
          <cell r="J232">
            <v>146255.02794</v>
          </cell>
          <cell r="K232">
            <v>164641.41702000002</v>
          </cell>
          <cell r="L232">
            <v>183045.5061</v>
          </cell>
          <cell r="M232">
            <v>195911.408364</v>
          </cell>
          <cell r="N232">
            <v>208799.007288</v>
          </cell>
          <cell r="O232">
            <v>221708.95377179998</v>
          </cell>
          <cell r="P232">
            <v>234641.91824219396</v>
          </cell>
          <cell r="Q232">
            <v>247598.5912387798</v>
          </cell>
          <cell r="R232">
            <v>262630.5133693432</v>
          </cell>
          <cell r="S232">
            <v>277687.5878753435</v>
          </cell>
          <cell r="T232">
            <v>292770.56932804384</v>
          </cell>
          <cell r="U232">
            <v>307880.2349358452</v>
          </cell>
          <cell r="V232">
            <v>308823.8756074005</v>
          </cell>
          <cell r="W232">
            <v>309795.82549910253</v>
          </cell>
          <cell r="X232">
            <v>310796.9338875556</v>
          </cell>
          <cell r="Y232">
            <v>311828.0755276623</v>
          </cell>
          <cell r="Z232">
            <v>312890.15141697216</v>
          </cell>
          <cell r="AA232">
            <v>313984.0895829613</v>
          </cell>
          <cell r="AB232">
            <v>315110.8458939301</v>
          </cell>
          <cell r="AC232">
            <v>316271.40489422804</v>
          </cell>
          <cell r="AD232">
            <v>317466.7806645349</v>
          </cell>
          <cell r="AE232">
            <v>318698.01770795096</v>
          </cell>
          <cell r="AF232">
            <v>319966.1918626695</v>
          </cell>
          <cell r="AG232">
            <v>321272.4112420296</v>
          </cell>
          <cell r="AH232">
            <v>322617.81720277044</v>
          </cell>
          <cell r="AI232">
            <v>319733.9889423336</v>
          </cell>
          <cell r="AJ232">
            <v>321042.73022608354</v>
          </cell>
          <cell r="AL232">
            <v>7720359.530991535</v>
          </cell>
        </row>
        <row r="233">
          <cell r="A233" t="str">
            <v> - местная валюта</v>
          </cell>
          <cell r="B233" t="str">
            <v> - in local currency</v>
          </cell>
          <cell r="D233" t="str">
            <v>тыс.руб.</v>
          </cell>
          <cell r="G233">
            <v>0</v>
          </cell>
          <cell r="H233">
            <v>108975.01649999998</v>
          </cell>
          <cell r="I233">
            <v>127514.63885999999</v>
          </cell>
          <cell r="J233">
            <v>146255.02794</v>
          </cell>
          <cell r="K233">
            <v>164641.41702000002</v>
          </cell>
          <cell r="L233">
            <v>183045.5061</v>
          </cell>
          <cell r="M233">
            <v>195911.408364</v>
          </cell>
          <cell r="N233">
            <v>208799.007288</v>
          </cell>
          <cell r="O233">
            <v>221708.95377179998</v>
          </cell>
          <cell r="P233">
            <v>234641.91824219396</v>
          </cell>
          <cell r="Q233">
            <v>247598.5912387798</v>
          </cell>
          <cell r="R233">
            <v>262630.5133693432</v>
          </cell>
          <cell r="S233">
            <v>277687.5878753435</v>
          </cell>
          <cell r="T233">
            <v>292770.56932804384</v>
          </cell>
          <cell r="U233">
            <v>307880.2349358452</v>
          </cell>
          <cell r="V233">
            <v>308823.8756074005</v>
          </cell>
          <cell r="W233">
            <v>309795.82549910253</v>
          </cell>
          <cell r="X233">
            <v>310796.9338875556</v>
          </cell>
          <cell r="Y233">
            <v>311828.0755276623</v>
          </cell>
          <cell r="Z233">
            <v>312890.15141697216</v>
          </cell>
          <cell r="AA233">
            <v>313984.0895829613</v>
          </cell>
          <cell r="AB233">
            <v>315110.8458939301</v>
          </cell>
          <cell r="AC233">
            <v>316271.40489422804</v>
          </cell>
          <cell r="AD233">
            <v>317466.7806645349</v>
          </cell>
          <cell r="AE233">
            <v>318698.01770795096</v>
          </cell>
          <cell r="AF233">
            <v>319966.1918626695</v>
          </cell>
          <cell r="AG233">
            <v>321272.4112420296</v>
          </cell>
          <cell r="AH233">
            <v>322617.81720277044</v>
          </cell>
          <cell r="AI233">
            <v>319733.9889423336</v>
          </cell>
          <cell r="AJ233">
            <v>321042.73022608354</v>
          </cell>
          <cell r="AL233">
            <v>7720359.530991535</v>
          </cell>
        </row>
        <row r="234">
          <cell r="A234" t="str">
            <v> - иностранная валюта</v>
          </cell>
          <cell r="B234" t="str">
            <v> - in foreign currency</v>
          </cell>
          <cell r="D234" t="str">
            <v>тыс.долл.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L234">
            <v>0</v>
          </cell>
        </row>
        <row r="236">
          <cell r="A236" t="str">
            <v> = НДС к производственной себестоимости</v>
          </cell>
          <cell r="B236" t="str">
            <v> = VAT to production costs</v>
          </cell>
          <cell r="D236" t="str">
            <v>тыс.руб.</v>
          </cell>
          <cell r="G236">
            <v>0</v>
          </cell>
          <cell r="H236">
            <v>18825.627635999997</v>
          </cell>
          <cell r="I236">
            <v>22162.7596608</v>
          </cell>
          <cell r="J236">
            <v>25536.029695199995</v>
          </cell>
          <cell r="K236">
            <v>28845.579729600002</v>
          </cell>
          <cell r="L236">
            <v>32158.315764</v>
          </cell>
          <cell r="M236">
            <v>34474.17817152</v>
          </cell>
          <cell r="N236">
            <v>36793.94597784</v>
          </cell>
          <cell r="O236">
            <v>39117.73634492399</v>
          </cell>
          <cell r="P236">
            <v>41445.66994959491</v>
          </cell>
          <cell r="Q236">
            <v>43777.87108898036</v>
          </cell>
          <cell r="R236">
            <v>46483.61707248177</v>
          </cell>
          <cell r="S236">
            <v>49193.89048356182</v>
          </cell>
          <cell r="T236">
            <v>51908.82714504788</v>
          </cell>
          <cell r="U236">
            <v>54628.56695445212</v>
          </cell>
          <cell r="V236">
            <v>54798.42227533209</v>
          </cell>
          <cell r="W236">
            <v>54973.37325583845</v>
          </cell>
          <cell r="X236">
            <v>55153.57276576</v>
          </cell>
          <cell r="Y236">
            <v>55339.1782609792</v>
          </cell>
          <cell r="Z236">
            <v>55530.35192105498</v>
          </cell>
          <cell r="AA236">
            <v>55727.260790933025</v>
          </cell>
          <cell r="AB236">
            <v>55930.07692690742</v>
          </cell>
          <cell r="AC236">
            <v>56138.97754696105</v>
          </cell>
          <cell r="AD236">
            <v>56354.145185616275</v>
          </cell>
          <cell r="AE236">
            <v>56575.76785343116</v>
          </cell>
          <cell r="AF236">
            <v>56804.039201280495</v>
          </cell>
          <cell r="AG236">
            <v>57039.158689565316</v>
          </cell>
          <cell r="AH236">
            <v>57281.331762498674</v>
          </cell>
          <cell r="AI236">
            <v>57530.770027620034</v>
          </cell>
          <cell r="AJ236">
            <v>57787.69144069504</v>
          </cell>
          <cell r="AL236">
            <v>1368316.733578476</v>
          </cell>
        </row>
        <row r="237">
          <cell r="A237" t="str">
            <v> = НДС к полной себестоимости</v>
          </cell>
          <cell r="B237" t="str">
            <v> = VAT to costs of product sold</v>
          </cell>
          <cell r="D237" t="str">
            <v>тыс.руб.</v>
          </cell>
          <cell r="G237">
            <v>0</v>
          </cell>
          <cell r="H237">
            <v>18825.627635999997</v>
          </cell>
          <cell r="I237">
            <v>22162.7596608</v>
          </cell>
          <cell r="J237">
            <v>25536.029695199995</v>
          </cell>
          <cell r="K237">
            <v>28845.579729600002</v>
          </cell>
          <cell r="L237">
            <v>32158.315764</v>
          </cell>
          <cell r="M237">
            <v>34474.17817152</v>
          </cell>
          <cell r="N237">
            <v>36793.94597784</v>
          </cell>
          <cell r="O237">
            <v>39117.73634492399</v>
          </cell>
          <cell r="P237">
            <v>41445.66994959491</v>
          </cell>
          <cell r="Q237">
            <v>43777.87108898036</v>
          </cell>
          <cell r="R237">
            <v>46483.61707248177</v>
          </cell>
          <cell r="S237">
            <v>49193.89048356182</v>
          </cell>
          <cell r="T237">
            <v>51908.82714504788</v>
          </cell>
          <cell r="U237">
            <v>54628.56695445212</v>
          </cell>
          <cell r="V237">
            <v>54798.42227533209</v>
          </cell>
          <cell r="W237">
            <v>54973.37325583845</v>
          </cell>
          <cell r="X237">
            <v>55153.57276576</v>
          </cell>
          <cell r="Y237">
            <v>55339.1782609792</v>
          </cell>
          <cell r="Z237">
            <v>55530.35192105498</v>
          </cell>
          <cell r="AA237">
            <v>55727.260790933025</v>
          </cell>
          <cell r="AB237">
            <v>55930.07692690742</v>
          </cell>
          <cell r="AC237">
            <v>56138.97754696105</v>
          </cell>
          <cell r="AD237">
            <v>56354.145185616275</v>
          </cell>
          <cell r="AE237">
            <v>56575.76785343116</v>
          </cell>
          <cell r="AF237">
            <v>56804.039201280495</v>
          </cell>
          <cell r="AG237">
            <v>57039.158689565316</v>
          </cell>
          <cell r="AH237">
            <v>57281.331762498674</v>
          </cell>
          <cell r="AI237">
            <v>57530.770027620034</v>
          </cell>
          <cell r="AJ237">
            <v>57787.69144069504</v>
          </cell>
          <cell r="AL237">
            <v>1368316.733578476</v>
          </cell>
        </row>
        <row r="241">
          <cell r="A241" t="str">
            <v>Цт=максимальные Постоянные цены</v>
          </cell>
          <cell r="B241" t="str">
            <v>Цт=максимальные Постоянные цены</v>
          </cell>
          <cell r="AL241" t="str">
            <v>АЛЬТ-Инвест™ 3.0</v>
          </cell>
        </row>
        <row r="242">
          <cell r="A242" t="str">
            <v>ПОСТОЯННЫЕ АКТИВЫ</v>
          </cell>
          <cell r="B242" t="str">
            <v>FIXED ASSETS</v>
          </cell>
          <cell r="F242" t="str">
            <v>"0"</v>
          </cell>
          <cell r="G242" t="str">
            <v>1 год</v>
          </cell>
          <cell r="H242" t="str">
            <v>2 год</v>
          </cell>
          <cell r="I242" t="str">
            <v>3 год</v>
          </cell>
          <cell r="J242" t="str">
            <v>4 год</v>
          </cell>
          <cell r="K242" t="str">
            <v>5 год</v>
          </cell>
          <cell r="L242" t="str">
            <v>6 год</v>
          </cell>
          <cell r="M242" t="str">
            <v>7 год</v>
          </cell>
          <cell r="N242" t="str">
            <v>8 год</v>
          </cell>
          <cell r="O242" t="str">
            <v>9 год</v>
          </cell>
          <cell r="P242" t="str">
            <v>10 год</v>
          </cell>
          <cell r="Q242" t="str">
            <v>11 год</v>
          </cell>
          <cell r="R242" t="str">
            <v>12 год</v>
          </cell>
          <cell r="S242" t="str">
            <v>13 год</v>
          </cell>
          <cell r="T242" t="str">
            <v>14 год</v>
          </cell>
          <cell r="U242" t="str">
            <v>15 год</v>
          </cell>
          <cell r="V242" t="str">
            <v>16 год</v>
          </cell>
          <cell r="W242" t="str">
            <v>17 год</v>
          </cell>
          <cell r="X242" t="str">
            <v>18 год</v>
          </cell>
          <cell r="Y242" t="str">
            <v>19 год</v>
          </cell>
          <cell r="Z242" t="str">
            <v>20 год</v>
          </cell>
          <cell r="AA242" t="str">
            <v>21 год</v>
          </cell>
          <cell r="AB242" t="str">
            <v>22 год</v>
          </cell>
          <cell r="AC242" t="str">
            <v>23 год</v>
          </cell>
          <cell r="AD242" t="str">
            <v>24 год</v>
          </cell>
          <cell r="AE242" t="str">
            <v>25 год</v>
          </cell>
          <cell r="AF242" t="str">
            <v>26 год</v>
          </cell>
          <cell r="AG242" t="str">
            <v>27 год</v>
          </cell>
          <cell r="AH242" t="str">
            <v>28 год</v>
          </cell>
          <cell r="AI242" t="str">
            <v>29 год</v>
          </cell>
          <cell r="AJ242" t="str">
            <v>30 год</v>
          </cell>
          <cell r="AL242" t="str">
            <v>ВСЕГО</v>
          </cell>
        </row>
        <row r="243">
          <cell r="A243" t="str">
            <v>Затраты в местной валюте</v>
          </cell>
          <cell r="B243" t="str">
            <v>Local curency costs</v>
          </cell>
        </row>
        <row r="245">
          <cell r="A245" t="str">
            <v>Капиталовложения в проект</v>
          </cell>
          <cell r="B245" t="str">
            <v>Fixed assets item</v>
          </cell>
          <cell r="C245" t="str">
            <v>индекс-дефлятор КВ</v>
          </cell>
          <cell r="G245">
            <v>1</v>
          </cell>
          <cell r="H245">
            <v>1.098</v>
          </cell>
          <cell r="I245">
            <v>1.197</v>
          </cell>
          <cell r="J245">
            <v>1.281</v>
          </cell>
          <cell r="K245">
            <v>1.355</v>
          </cell>
        </row>
        <row r="246">
          <cell r="A246" t="str">
            <v>№ год ввода в действие и график оплаты</v>
          </cell>
          <cell r="B246" t="str">
            <v>№ год of operation start &amp; schedule of investments</v>
          </cell>
          <cell r="C246">
            <v>2</v>
          </cell>
          <cell r="D246" t="str">
            <v>%</v>
          </cell>
          <cell r="G246">
            <v>1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Индекс изменения цен (базисный)</v>
          </cell>
          <cell r="B247" t="str">
            <v>Price index (basic)</v>
          </cell>
          <cell r="E247" t="str">
            <v>,del_str</v>
          </cell>
          <cell r="F247">
            <v>1</v>
          </cell>
          <cell r="G247">
            <v>1</v>
          </cell>
          <cell r="H247">
            <v>1</v>
          </cell>
          <cell r="I247">
            <v>1</v>
          </cell>
          <cell r="J247">
            <v>1</v>
          </cell>
          <cell r="K247">
            <v>1</v>
          </cell>
          <cell r="L247">
            <v>1</v>
          </cell>
          <cell r="M247">
            <v>1</v>
          </cell>
          <cell r="N247">
            <v>1</v>
          </cell>
          <cell r="O247">
            <v>1</v>
          </cell>
          <cell r="P247">
            <v>1</v>
          </cell>
          <cell r="Q247">
            <v>1</v>
          </cell>
          <cell r="R247">
            <v>1</v>
          </cell>
          <cell r="S247">
            <v>1</v>
          </cell>
          <cell r="T247">
            <v>1</v>
          </cell>
          <cell r="U247">
            <v>1</v>
          </cell>
          <cell r="V247">
            <v>1</v>
          </cell>
          <cell r="W247">
            <v>1</v>
          </cell>
          <cell r="X247">
            <v>1</v>
          </cell>
          <cell r="Y247">
            <v>1</v>
          </cell>
          <cell r="Z247">
            <v>1</v>
          </cell>
          <cell r="AA247">
            <v>1</v>
          </cell>
          <cell r="AB247">
            <v>1</v>
          </cell>
          <cell r="AC247">
            <v>1</v>
          </cell>
          <cell r="AD247">
            <v>1</v>
          </cell>
          <cell r="AE247">
            <v>1</v>
          </cell>
          <cell r="AF247">
            <v>1</v>
          </cell>
          <cell r="AG247">
            <v>1</v>
          </cell>
          <cell r="AH247">
            <v>1</v>
          </cell>
          <cell r="AI247">
            <v>1</v>
          </cell>
          <cell r="AJ247">
            <v>1</v>
          </cell>
        </row>
        <row r="248">
          <cell r="A248" t="str">
            <v>Стоимость актива (без НДС)</v>
          </cell>
          <cell r="B248" t="str">
            <v>Purshase costs (without VAT) </v>
          </cell>
          <cell r="C248">
            <v>118599.9</v>
          </cell>
          <cell r="D248" t="str">
            <v>тыс.руб.</v>
          </cell>
          <cell r="E248" t="str">
            <v>costfa1</v>
          </cell>
          <cell r="G248">
            <v>118599.9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AL248">
            <v>118599.9</v>
          </cell>
        </row>
        <row r="249">
          <cell r="A249" t="str">
            <v>Импортная пошлина</v>
          </cell>
          <cell r="B249" t="str">
            <v>Import custom duty rate</v>
          </cell>
          <cell r="C249">
            <v>0</v>
          </cell>
          <cell r="D249" t="str">
            <v>тыс.руб.</v>
          </cell>
          <cell r="E249" t="str">
            <v>impfa1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L249">
            <v>0</v>
          </cell>
        </row>
        <row r="250">
          <cell r="A250" t="str">
            <v>НДС уплаченный</v>
          </cell>
          <cell r="B250" t="str">
            <v>VAT to costs</v>
          </cell>
          <cell r="C250">
            <v>0.18</v>
          </cell>
          <cell r="D250" t="str">
            <v>тыс.руб.</v>
          </cell>
          <cell r="E250" t="str">
            <v>vattofa1</v>
          </cell>
          <cell r="F250">
            <v>0</v>
          </cell>
          <cell r="G250">
            <v>21347.982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L250">
            <v>21347.982</v>
          </cell>
        </row>
        <row r="251">
          <cell r="A251" t="str">
            <v> - незавершенные капитальные вложения</v>
          </cell>
          <cell r="B251" t="str">
            <v> - uncompleted investment</v>
          </cell>
          <cell r="C251">
            <v>0</v>
          </cell>
          <cell r="D251" t="str">
            <v>тыс.руб.</v>
          </cell>
          <cell r="E251" t="str">
            <v>nocfa1,on_end,del_str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L251" t="str">
            <v>-</v>
          </cell>
        </row>
        <row r="252">
          <cell r="A252" t="str">
            <v> - балансовая стоимость</v>
          </cell>
          <cell r="B252" t="str">
            <v> - book value</v>
          </cell>
          <cell r="C252">
            <v>0</v>
          </cell>
          <cell r="D252" t="str">
            <v>тыс.руб.</v>
          </cell>
          <cell r="E252" t="str">
            <v>bookfa1,on_end,del_str</v>
          </cell>
          <cell r="F252">
            <v>0</v>
          </cell>
          <cell r="G252">
            <v>118599.9</v>
          </cell>
          <cell r="H252">
            <v>118599.9</v>
          </cell>
          <cell r="I252">
            <v>118599.9</v>
          </cell>
          <cell r="J252">
            <v>118599.9</v>
          </cell>
          <cell r="K252">
            <v>118599.9</v>
          </cell>
          <cell r="L252">
            <v>118599.9</v>
          </cell>
          <cell r="M252">
            <v>118599.9</v>
          </cell>
          <cell r="N252">
            <v>118599.9</v>
          </cell>
          <cell r="O252">
            <v>118599.9</v>
          </cell>
          <cell r="P252">
            <v>118599.9</v>
          </cell>
          <cell r="Q252">
            <v>118599.9</v>
          </cell>
          <cell r="R252">
            <v>118599.9</v>
          </cell>
          <cell r="S252">
            <v>118599.9</v>
          </cell>
          <cell r="T252">
            <v>118599.9</v>
          </cell>
          <cell r="U252">
            <v>118599.9</v>
          </cell>
          <cell r="V252">
            <v>118599.9</v>
          </cell>
          <cell r="W252">
            <v>118599.9</v>
          </cell>
          <cell r="X252">
            <v>118599.9</v>
          </cell>
          <cell r="Y252">
            <v>118599.9</v>
          </cell>
          <cell r="Z252">
            <v>118599.9</v>
          </cell>
          <cell r="AA252">
            <v>118599.9</v>
          </cell>
          <cell r="AB252">
            <v>118599.9</v>
          </cell>
          <cell r="AC252">
            <v>118599.9</v>
          </cell>
          <cell r="AD252">
            <v>118599.9</v>
          </cell>
          <cell r="AE252">
            <v>118599.9</v>
          </cell>
          <cell r="AF252">
            <v>118599.9</v>
          </cell>
          <cell r="AG252">
            <v>118599.9</v>
          </cell>
          <cell r="AH252">
            <v>118599.9</v>
          </cell>
          <cell r="AI252">
            <v>118599.9</v>
          </cell>
          <cell r="AJ252">
            <v>0</v>
          </cell>
          <cell r="AL252" t="str">
            <v>-</v>
          </cell>
        </row>
        <row r="253">
          <cell r="A253" t="str">
            <v> - остаточная стоимость</v>
          </cell>
          <cell r="B253" t="str">
            <v> - net book value (free from depreciation)</v>
          </cell>
          <cell r="C253">
            <v>0</v>
          </cell>
          <cell r="D253" t="str">
            <v>тыс.руб.</v>
          </cell>
          <cell r="E253" t="str">
            <v>booknfa1,on_end,del_str</v>
          </cell>
          <cell r="F253">
            <v>0</v>
          </cell>
          <cell r="G253">
            <v>118599.9</v>
          </cell>
          <cell r="H253">
            <v>114211.7037</v>
          </cell>
          <cell r="I253">
            <v>109823.5074</v>
          </cell>
          <cell r="J253">
            <v>105435.31109999999</v>
          </cell>
          <cell r="K253">
            <v>101047.1148</v>
          </cell>
          <cell r="L253">
            <v>96658.9185</v>
          </cell>
          <cell r="M253">
            <v>92270.72219999999</v>
          </cell>
          <cell r="N253">
            <v>87882.5259</v>
          </cell>
          <cell r="O253">
            <v>83494.3296</v>
          </cell>
          <cell r="P253">
            <v>79106.1333</v>
          </cell>
          <cell r="Q253">
            <v>74717.937</v>
          </cell>
          <cell r="R253">
            <v>70329.74070000001</v>
          </cell>
          <cell r="S253">
            <v>65941.54440000001</v>
          </cell>
          <cell r="T253">
            <v>61553.34810000002</v>
          </cell>
          <cell r="U253">
            <v>57165.15180000002</v>
          </cell>
          <cell r="V253">
            <v>52776.955500000025</v>
          </cell>
          <cell r="W253">
            <v>48388.75920000003</v>
          </cell>
          <cell r="X253">
            <v>44000.56290000003</v>
          </cell>
          <cell r="Y253">
            <v>39612.36660000004</v>
          </cell>
          <cell r="Z253">
            <v>35224.17030000004</v>
          </cell>
          <cell r="AA253">
            <v>30835.974000000046</v>
          </cell>
          <cell r="AB253">
            <v>26447.77770000005</v>
          </cell>
          <cell r="AC253">
            <v>22059.581400000054</v>
          </cell>
          <cell r="AD253">
            <v>17671.385100000058</v>
          </cell>
          <cell r="AE253">
            <v>13283.188800000062</v>
          </cell>
          <cell r="AF253">
            <v>8894.992500000066</v>
          </cell>
          <cell r="AG253">
            <v>4506.79620000007</v>
          </cell>
          <cell r="AH253">
            <v>118.59990000007383</v>
          </cell>
          <cell r="AI253">
            <v>0</v>
          </cell>
          <cell r="AJ253">
            <v>0</v>
          </cell>
          <cell r="AL253" t="str">
            <v>-</v>
          </cell>
        </row>
        <row r="254">
          <cell r="A254" t="str">
            <v>НДС к возмещению</v>
          </cell>
          <cell r="B254" t="str">
            <v>VAT to write off</v>
          </cell>
          <cell r="D254" t="str">
            <v>тыс.руб.</v>
          </cell>
          <cell r="E254" t="str">
            <v>vatforfa1,on_end,del_str</v>
          </cell>
          <cell r="G254">
            <v>0</v>
          </cell>
          <cell r="H254">
            <v>21347.982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L254">
            <v>21347.982</v>
          </cell>
        </row>
        <row r="255">
          <cell r="A255" t="str">
            <v>Реализация актива (без НДС)</v>
          </cell>
          <cell r="B255" t="str">
            <v>Asset sale revenue (without VAT)</v>
          </cell>
          <cell r="D255" t="str">
            <v>тыс.руб.</v>
          </cell>
          <cell r="E255" t="str">
            <v>salfa1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L255">
            <v>0</v>
          </cell>
        </row>
        <row r="256">
          <cell r="A256" t="str">
            <v> - прибыль/убыток от реализации актива</v>
          </cell>
          <cell r="B256" t="str">
            <v> - asset sale income</v>
          </cell>
          <cell r="D256" t="str">
            <v>тыс.руб.</v>
          </cell>
          <cell r="E256" t="str">
            <v>margfa1,del_str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L256">
            <v>0</v>
          </cell>
        </row>
        <row r="257">
          <cell r="A257" t="str">
            <v> - НДС к выручке от реализации актива</v>
          </cell>
          <cell r="B257" t="str">
            <v> - VAT to asset sale revenue</v>
          </cell>
          <cell r="C257">
            <v>0.18</v>
          </cell>
          <cell r="D257" t="str">
            <v>тыс.руб.</v>
          </cell>
          <cell r="E257" t="str">
            <v>vatfasal1,del_str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L257">
            <v>0</v>
          </cell>
        </row>
        <row r="258">
          <cell r="A258" t="str">
            <v>Налогооблагаемое имущество</v>
          </cell>
          <cell r="B258" t="str">
            <v>Taxable property</v>
          </cell>
          <cell r="D258" t="str">
            <v>тыс.руб.</v>
          </cell>
          <cell r="E258" t="str">
            <v>proper1,del_str</v>
          </cell>
          <cell r="G258">
            <v>0</v>
          </cell>
          <cell r="H258">
            <v>116405.80184999999</v>
          </cell>
          <cell r="I258">
            <v>112017.60555000001</v>
          </cell>
          <cell r="J258">
            <v>107629.40925</v>
          </cell>
          <cell r="K258">
            <v>103241.21294999999</v>
          </cell>
          <cell r="L258">
            <v>98853.01665</v>
          </cell>
          <cell r="M258">
            <v>94464.82035</v>
          </cell>
          <cell r="N258">
            <v>90076.62404999998</v>
          </cell>
          <cell r="O258">
            <v>85688.42775</v>
          </cell>
          <cell r="P258">
            <v>81300.23144999999</v>
          </cell>
          <cell r="Q258">
            <v>76912.03515000001</v>
          </cell>
          <cell r="R258">
            <v>72523.83885</v>
          </cell>
          <cell r="S258">
            <v>68135.64255000002</v>
          </cell>
          <cell r="T258">
            <v>63747.446250000015</v>
          </cell>
          <cell r="U258">
            <v>59359.24995000002</v>
          </cell>
          <cell r="V258">
            <v>54971.05365000002</v>
          </cell>
          <cell r="W258">
            <v>50582.85735000003</v>
          </cell>
          <cell r="X258">
            <v>46194.66105000003</v>
          </cell>
          <cell r="Y258">
            <v>41806.464750000036</v>
          </cell>
          <cell r="Z258">
            <v>37418.26845000004</v>
          </cell>
          <cell r="AA258">
            <v>33030.07215000004</v>
          </cell>
          <cell r="AB258">
            <v>28641.875850000048</v>
          </cell>
          <cell r="AC258">
            <v>24253.67955000005</v>
          </cell>
          <cell r="AD258">
            <v>19865.483250000056</v>
          </cell>
          <cell r="AE258">
            <v>15477.28695000006</v>
          </cell>
          <cell r="AF258">
            <v>11089.090650000064</v>
          </cell>
          <cell r="AG258">
            <v>6700.894350000068</v>
          </cell>
          <cell r="AH258">
            <v>2312.698050000072</v>
          </cell>
          <cell r="AI258">
            <v>59.299950000036915</v>
          </cell>
          <cell r="AJ258">
            <v>0</v>
          </cell>
        </row>
        <row r="259">
          <cell r="A259" t="str">
            <v>Амортизационные отчисления</v>
          </cell>
          <cell r="B259" t="str">
            <v>Depreciation charges</v>
          </cell>
          <cell r="C259">
            <v>0.037</v>
          </cell>
          <cell r="D259" t="str">
            <v>тыс.руб.</v>
          </cell>
          <cell r="E259" t="str">
            <v>depr1</v>
          </cell>
          <cell r="G259">
            <v>0</v>
          </cell>
          <cell r="H259">
            <v>4388.1963</v>
          </cell>
          <cell r="I259">
            <v>4388.1963</v>
          </cell>
          <cell r="J259">
            <v>4388.1963</v>
          </cell>
          <cell r="K259">
            <v>4388.1963</v>
          </cell>
          <cell r="L259">
            <v>4388.1963</v>
          </cell>
          <cell r="M259">
            <v>4388.1963</v>
          </cell>
          <cell r="N259">
            <v>4388.1963</v>
          </cell>
          <cell r="O259">
            <v>4388.1963</v>
          </cell>
          <cell r="P259">
            <v>4388.1963</v>
          </cell>
          <cell r="Q259">
            <v>4388.1963</v>
          </cell>
          <cell r="R259">
            <v>4388.1963</v>
          </cell>
          <cell r="S259">
            <v>4388.1963</v>
          </cell>
          <cell r="T259">
            <v>4388.1963</v>
          </cell>
          <cell r="U259">
            <v>4388.1963</v>
          </cell>
          <cell r="V259">
            <v>4388.1963</v>
          </cell>
          <cell r="W259">
            <v>4388.1963</v>
          </cell>
          <cell r="X259">
            <v>4388.1963</v>
          </cell>
          <cell r="Y259">
            <v>4388.1963</v>
          </cell>
          <cell r="Z259">
            <v>4388.1963</v>
          </cell>
          <cell r="AA259">
            <v>4388.1963</v>
          </cell>
          <cell r="AB259">
            <v>4388.1963</v>
          </cell>
          <cell r="AC259">
            <v>4388.1963</v>
          </cell>
          <cell r="AD259">
            <v>4388.1963</v>
          </cell>
          <cell r="AE259">
            <v>4388.1963</v>
          </cell>
          <cell r="AF259">
            <v>4388.1963</v>
          </cell>
          <cell r="AG259">
            <v>4388.1963</v>
          </cell>
          <cell r="AH259">
            <v>4388.1963</v>
          </cell>
          <cell r="AI259">
            <v>118.59990000007383</v>
          </cell>
          <cell r="AJ259">
            <v>0</v>
          </cell>
          <cell r="AL259">
            <v>118599.9</v>
          </cell>
        </row>
        <row r="280">
          <cell r="A280" t="str">
            <v> = Затраты на приобретение постоянных активов (без НДС)</v>
          </cell>
          <cell r="B280" t="str">
            <v> = Fixed investment costs</v>
          </cell>
          <cell r="D280" t="str">
            <v>тыс.руб.</v>
          </cell>
          <cell r="F280">
            <v>0</v>
          </cell>
          <cell r="G280">
            <v>118599.9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L280">
            <v>118599.9</v>
          </cell>
        </row>
        <row r="281">
          <cell r="A281" t="str">
            <v> - местная валюта</v>
          </cell>
          <cell r="B281" t="str">
            <v> - in local currency</v>
          </cell>
          <cell r="D281" t="str">
            <v>тыс.руб.</v>
          </cell>
          <cell r="F281">
            <v>0</v>
          </cell>
          <cell r="G281">
            <v>118599.9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L281">
            <v>118599.9</v>
          </cell>
        </row>
        <row r="282">
          <cell r="A282" t="str">
            <v> - иностранная валюта</v>
          </cell>
          <cell r="B282" t="str">
            <v> - in foreign currency</v>
          </cell>
          <cell r="D282" t="str">
            <v>тыс.долл.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L282">
            <v>0</v>
          </cell>
        </row>
        <row r="284">
          <cell r="A284" t="str">
            <v> = в том числе импортная пошлина</v>
          </cell>
          <cell r="B284" t="str">
            <v> = including import duty</v>
          </cell>
          <cell r="D284" t="str">
            <v>тыс.руб.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L284">
            <v>0</v>
          </cell>
        </row>
        <row r="285">
          <cell r="A285" t="str">
            <v> - местная валюта</v>
          </cell>
          <cell r="B285" t="str">
            <v> - in local currency</v>
          </cell>
          <cell r="D285" t="str">
            <v>тыс.руб.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L285">
            <v>0</v>
          </cell>
        </row>
        <row r="286">
          <cell r="A286" t="str">
            <v> - иностранная валюта</v>
          </cell>
          <cell r="B286" t="str">
            <v> - in foreign currency</v>
          </cell>
          <cell r="D286" t="str">
            <v>тыс.долл.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L286">
            <v>0</v>
          </cell>
        </row>
        <row r="288">
          <cell r="A288" t="str">
            <v> = НДС к постоянным активам </v>
          </cell>
          <cell r="B288" t="str">
            <v> = VAT to costs</v>
          </cell>
          <cell r="D288" t="str">
            <v>тыс.руб.</v>
          </cell>
          <cell r="F288">
            <v>0</v>
          </cell>
          <cell r="G288">
            <v>21347.982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L288">
            <v>21347.982</v>
          </cell>
        </row>
        <row r="290">
          <cell r="A290" t="str">
            <v> = Итого незавершенные капитальные вложения</v>
          </cell>
          <cell r="B290" t="str">
            <v> = Total uncompleted investment</v>
          </cell>
          <cell r="C290">
            <v>0</v>
          </cell>
          <cell r="D290" t="str">
            <v>тыс.руб.</v>
          </cell>
          <cell r="E290" t="str">
            <v>,on_end,del_str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L290">
            <v>0</v>
          </cell>
        </row>
        <row r="291">
          <cell r="A291" t="str">
            <v> = Итого балансовая стоимость</v>
          </cell>
          <cell r="B291" t="str">
            <v> = Total book value</v>
          </cell>
          <cell r="C291">
            <v>0</v>
          </cell>
          <cell r="D291" t="str">
            <v>тыс.руб.</v>
          </cell>
          <cell r="E291" t="str">
            <v>,on_end,del_str</v>
          </cell>
          <cell r="F291">
            <v>0</v>
          </cell>
          <cell r="G291">
            <v>118599.9</v>
          </cell>
          <cell r="H291">
            <v>118599.9</v>
          </cell>
          <cell r="I291">
            <v>118599.9</v>
          </cell>
          <cell r="J291">
            <v>118599.9</v>
          </cell>
          <cell r="K291">
            <v>118599.9</v>
          </cell>
          <cell r="L291">
            <v>118599.9</v>
          </cell>
          <cell r="M291">
            <v>118599.9</v>
          </cell>
          <cell r="N291">
            <v>118599.9</v>
          </cell>
          <cell r="O291">
            <v>118599.9</v>
          </cell>
          <cell r="P291">
            <v>118599.9</v>
          </cell>
          <cell r="Q291">
            <v>118599.9</v>
          </cell>
          <cell r="R291">
            <v>118599.9</v>
          </cell>
          <cell r="S291">
            <v>118599.9</v>
          </cell>
          <cell r="T291">
            <v>118599.9</v>
          </cell>
          <cell r="U291">
            <v>118599.9</v>
          </cell>
          <cell r="V291">
            <v>118599.9</v>
          </cell>
          <cell r="W291">
            <v>118599.9</v>
          </cell>
          <cell r="X291">
            <v>118599.9</v>
          </cell>
          <cell r="Y291">
            <v>118599.9</v>
          </cell>
          <cell r="Z291">
            <v>118599.9</v>
          </cell>
          <cell r="AA291">
            <v>118599.9</v>
          </cell>
          <cell r="AB291">
            <v>118599.9</v>
          </cell>
          <cell r="AC291">
            <v>118599.9</v>
          </cell>
          <cell r="AD291">
            <v>118599.9</v>
          </cell>
          <cell r="AE291">
            <v>118599.9</v>
          </cell>
          <cell r="AF291">
            <v>118599.9</v>
          </cell>
          <cell r="AG291">
            <v>118599.9</v>
          </cell>
          <cell r="AH291">
            <v>118599.9</v>
          </cell>
          <cell r="AI291">
            <v>118599.9</v>
          </cell>
          <cell r="AJ291">
            <v>0</v>
          </cell>
          <cell r="AL291">
            <v>3439397.099999998</v>
          </cell>
        </row>
        <row r="292">
          <cell r="A292" t="str">
            <v> = Итого остаточная стоимость</v>
          </cell>
          <cell r="B292" t="str">
            <v> = Total net book value (free from depreciation)</v>
          </cell>
          <cell r="C292">
            <v>0</v>
          </cell>
          <cell r="D292" t="str">
            <v>тыс.руб.</v>
          </cell>
          <cell r="E292" t="str">
            <v>,on_end,del_str</v>
          </cell>
          <cell r="F292">
            <v>0</v>
          </cell>
          <cell r="G292">
            <v>118599.9</v>
          </cell>
          <cell r="H292">
            <v>114211.7037</v>
          </cell>
          <cell r="I292">
            <v>109823.5074</v>
          </cell>
          <cell r="J292">
            <v>105435.31109999999</v>
          </cell>
          <cell r="K292">
            <v>101047.1148</v>
          </cell>
          <cell r="L292">
            <v>96658.9185</v>
          </cell>
          <cell r="M292">
            <v>92270.72219999999</v>
          </cell>
          <cell r="N292">
            <v>87882.5259</v>
          </cell>
          <cell r="O292">
            <v>83494.3296</v>
          </cell>
          <cell r="P292">
            <v>79106.1333</v>
          </cell>
          <cell r="Q292">
            <v>74717.937</v>
          </cell>
          <cell r="R292">
            <v>70329.74070000001</v>
          </cell>
          <cell r="S292">
            <v>65941.54440000001</v>
          </cell>
          <cell r="T292">
            <v>61553.34810000002</v>
          </cell>
          <cell r="U292">
            <v>57165.15180000002</v>
          </cell>
          <cell r="V292">
            <v>52776.955500000025</v>
          </cell>
          <cell r="W292">
            <v>48388.75920000003</v>
          </cell>
          <cell r="X292">
            <v>44000.56290000003</v>
          </cell>
          <cell r="Y292">
            <v>39612.36660000004</v>
          </cell>
          <cell r="Z292">
            <v>35224.17030000004</v>
          </cell>
          <cell r="AA292">
            <v>30835.974000000046</v>
          </cell>
          <cell r="AB292">
            <v>26447.77770000005</v>
          </cell>
          <cell r="AC292">
            <v>22059.581400000054</v>
          </cell>
          <cell r="AD292">
            <v>17671.385100000058</v>
          </cell>
          <cell r="AE292">
            <v>13283.188800000062</v>
          </cell>
          <cell r="AF292">
            <v>8894.992500000066</v>
          </cell>
          <cell r="AG292">
            <v>4506.79620000007</v>
          </cell>
          <cell r="AH292">
            <v>118.59990000007383</v>
          </cell>
          <cell r="AI292">
            <v>0</v>
          </cell>
          <cell r="AJ292">
            <v>0</v>
          </cell>
          <cell r="AL292">
            <v>1662058.9986000005</v>
          </cell>
        </row>
        <row r="293">
          <cell r="A293" t="str">
            <v> = Итого НДС к зачету</v>
          </cell>
          <cell r="B293" t="str">
            <v> = Total VAT to write off</v>
          </cell>
          <cell r="D293" t="str">
            <v>тыс.руб.</v>
          </cell>
          <cell r="E293" t="str">
            <v>,on_end,del_str</v>
          </cell>
          <cell r="F293">
            <v>0</v>
          </cell>
          <cell r="G293">
            <v>0</v>
          </cell>
          <cell r="H293">
            <v>21347.982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L293">
            <v>21347.982</v>
          </cell>
        </row>
        <row r="294">
          <cell r="A294" t="str">
            <v> = Итого реализовано активов (без НДС)</v>
          </cell>
          <cell r="B294" t="str">
            <v> = Total asset sale revenue (without VAT)</v>
          </cell>
          <cell r="D294" t="str">
            <v>тыс.руб.</v>
          </cell>
          <cell r="E294" t="str">
            <v>,del_str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L294">
            <v>0</v>
          </cell>
        </row>
        <row r="295">
          <cell r="A295" t="str">
            <v> = Итого прибыль/убыток от реализации активов</v>
          </cell>
          <cell r="B295" t="str">
            <v> = Total asset sale income</v>
          </cell>
          <cell r="D295" t="str">
            <v>тыс.руб.</v>
          </cell>
          <cell r="E295" t="str">
            <v>,del_str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L295">
            <v>0</v>
          </cell>
        </row>
        <row r="296">
          <cell r="A296" t="str">
            <v> = Итого НДС к выручке от реализации активов</v>
          </cell>
          <cell r="B296" t="str">
            <v> = Total VAT to asset sale revenue</v>
          </cell>
          <cell r="D296" t="str">
            <v>тыс.руб.</v>
          </cell>
          <cell r="E296" t="str">
            <v>,del_str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L296">
            <v>0</v>
          </cell>
        </row>
        <row r="297">
          <cell r="A297" t="str">
            <v> = Налогооблагаемое имущество</v>
          </cell>
          <cell r="B297" t="str">
            <v> = Total taxable property</v>
          </cell>
          <cell r="D297" t="str">
            <v>тыс.руб.</v>
          </cell>
          <cell r="E297" t="str">
            <v>,del_str</v>
          </cell>
          <cell r="F297">
            <v>0</v>
          </cell>
          <cell r="G297">
            <v>0</v>
          </cell>
          <cell r="H297">
            <v>116405.80184999999</v>
          </cell>
          <cell r="I297">
            <v>112017.60555000001</v>
          </cell>
          <cell r="J297">
            <v>107629.40925</v>
          </cell>
          <cell r="K297">
            <v>103241.21294999999</v>
          </cell>
          <cell r="L297">
            <v>98853.01665</v>
          </cell>
          <cell r="M297">
            <v>94464.82035</v>
          </cell>
          <cell r="N297">
            <v>90076.62404999998</v>
          </cell>
          <cell r="O297">
            <v>85688.42775</v>
          </cell>
          <cell r="P297">
            <v>81300.23144999999</v>
          </cell>
          <cell r="Q297">
            <v>76912.03515000001</v>
          </cell>
          <cell r="R297">
            <v>72523.83885</v>
          </cell>
          <cell r="S297">
            <v>68135.64255000002</v>
          </cell>
          <cell r="T297">
            <v>63747.446250000015</v>
          </cell>
          <cell r="U297">
            <v>59359.24995000002</v>
          </cell>
          <cell r="V297">
            <v>54971.05365000002</v>
          </cell>
          <cell r="W297">
            <v>50582.85735000003</v>
          </cell>
          <cell r="X297">
            <v>46194.66105000003</v>
          </cell>
          <cell r="Y297">
            <v>41806.464750000036</v>
          </cell>
          <cell r="Z297">
            <v>37418.26845000004</v>
          </cell>
          <cell r="AA297">
            <v>33030.07215000004</v>
          </cell>
          <cell r="AB297">
            <v>28641.875850000048</v>
          </cell>
          <cell r="AC297">
            <v>24253.67955000005</v>
          </cell>
          <cell r="AD297">
            <v>19865.483250000056</v>
          </cell>
          <cell r="AE297">
            <v>15477.28695000006</v>
          </cell>
          <cell r="AF297">
            <v>11089.090650000064</v>
          </cell>
          <cell r="AG297">
            <v>6700.894350000068</v>
          </cell>
          <cell r="AH297">
            <v>2312.698050000072</v>
          </cell>
          <cell r="AI297">
            <v>59.299950000036915</v>
          </cell>
          <cell r="AJ297">
            <v>0</v>
          </cell>
        </row>
        <row r="298">
          <cell r="A298" t="str">
            <v> = Итого амортизационные отчисления</v>
          </cell>
          <cell r="B298" t="str">
            <v> = Total depreciation charges</v>
          </cell>
          <cell r="D298" t="str">
            <v>тыс.руб.</v>
          </cell>
          <cell r="E298" t="str">
            <v>,del_str</v>
          </cell>
          <cell r="F298">
            <v>0</v>
          </cell>
          <cell r="G298">
            <v>0</v>
          </cell>
          <cell r="H298">
            <v>4388.1963</v>
          </cell>
          <cell r="I298">
            <v>4388.1963</v>
          </cell>
          <cell r="J298">
            <v>4388.1963</v>
          </cell>
          <cell r="K298">
            <v>4388.1963</v>
          </cell>
          <cell r="L298">
            <v>4388.1963</v>
          </cell>
          <cell r="M298">
            <v>4388.1963</v>
          </cell>
          <cell r="N298">
            <v>4388.1963</v>
          </cell>
          <cell r="O298">
            <v>4388.1963</v>
          </cell>
          <cell r="P298">
            <v>4388.1963</v>
          </cell>
          <cell r="Q298">
            <v>4388.1963</v>
          </cell>
          <cell r="R298">
            <v>4388.1963</v>
          </cell>
          <cell r="S298">
            <v>4388.1963</v>
          </cell>
          <cell r="T298">
            <v>4388.1963</v>
          </cell>
          <cell r="U298">
            <v>4388.1963</v>
          </cell>
          <cell r="V298">
            <v>4388.1963</v>
          </cell>
          <cell r="W298">
            <v>4388.1963</v>
          </cell>
          <cell r="X298">
            <v>4388.1963</v>
          </cell>
          <cell r="Y298">
            <v>4388.1963</v>
          </cell>
          <cell r="Z298">
            <v>4388.1963</v>
          </cell>
          <cell r="AA298">
            <v>4388.1963</v>
          </cell>
          <cell r="AB298">
            <v>4388.1963</v>
          </cell>
          <cell r="AC298">
            <v>4388.1963</v>
          </cell>
          <cell r="AD298">
            <v>4388.1963</v>
          </cell>
          <cell r="AE298">
            <v>4388.1963</v>
          </cell>
          <cell r="AF298">
            <v>4388.1963</v>
          </cell>
          <cell r="AG298">
            <v>4388.1963</v>
          </cell>
          <cell r="AH298">
            <v>4388.1963</v>
          </cell>
          <cell r="AI298">
            <v>118.59990000007383</v>
          </cell>
          <cell r="AJ298">
            <v>0</v>
          </cell>
          <cell r="AL298">
            <v>118599.9</v>
          </cell>
        </row>
        <row r="301">
          <cell r="A301" t="str">
            <v>Цт=максимальные Постоянные цены</v>
          </cell>
          <cell r="B301" t="str">
            <v>Цт=максимальные Постоянные цены</v>
          </cell>
          <cell r="AL301" t="str">
            <v>АЛЬТ-Инвест™ 3.0</v>
          </cell>
        </row>
        <row r="302">
          <cell r="A302" t="str">
            <v>ЛИЗИНГ</v>
          </cell>
          <cell r="B302" t="str">
            <v>LEASING</v>
          </cell>
          <cell r="F302" t="str">
            <v>"0"</v>
          </cell>
          <cell r="G302" t="str">
            <v>1 год</v>
          </cell>
          <cell r="H302" t="str">
            <v>2 год</v>
          </cell>
          <cell r="I302" t="str">
            <v>3 год</v>
          </cell>
          <cell r="J302" t="str">
            <v>4 год</v>
          </cell>
          <cell r="K302" t="str">
            <v>5 год</v>
          </cell>
          <cell r="L302" t="str">
            <v>6 год</v>
          </cell>
          <cell r="M302" t="str">
            <v>7 год</v>
          </cell>
          <cell r="N302" t="str">
            <v>8 год</v>
          </cell>
          <cell r="O302" t="str">
            <v>9 год</v>
          </cell>
          <cell r="P302" t="str">
            <v>10 год</v>
          </cell>
          <cell r="Q302" t="str">
            <v>11 год</v>
          </cell>
          <cell r="R302" t="str">
            <v>12 год</v>
          </cell>
          <cell r="S302" t="str">
            <v>13 год</v>
          </cell>
          <cell r="T302" t="str">
            <v>14 год</v>
          </cell>
          <cell r="U302" t="str">
            <v>15 год</v>
          </cell>
          <cell r="V302" t="str">
            <v>16 год</v>
          </cell>
          <cell r="W302" t="str">
            <v>17 год</v>
          </cell>
          <cell r="X302" t="str">
            <v>18 год</v>
          </cell>
          <cell r="Y302" t="str">
            <v>19 год</v>
          </cell>
          <cell r="Z302" t="str">
            <v>20 год</v>
          </cell>
          <cell r="AA302" t="str">
            <v>21 год</v>
          </cell>
          <cell r="AB302" t="str">
            <v>22 год</v>
          </cell>
          <cell r="AC302" t="str">
            <v>23 год</v>
          </cell>
          <cell r="AD302" t="str">
            <v>24 год</v>
          </cell>
          <cell r="AE302" t="str">
            <v>25 год</v>
          </cell>
          <cell r="AF302" t="str">
            <v>26 год</v>
          </cell>
          <cell r="AG302" t="str">
            <v>27 год</v>
          </cell>
          <cell r="AH302" t="str">
            <v>28 год</v>
          </cell>
          <cell r="AI302" t="str">
            <v>29 год</v>
          </cell>
          <cell r="AJ302" t="str">
            <v>30 год</v>
          </cell>
          <cell r="AL302" t="str">
            <v>ВСЕГО</v>
          </cell>
        </row>
        <row r="303">
          <cell r="A303" t="str">
            <v>Затраты в местной валюте</v>
          </cell>
          <cell r="B303" t="str">
            <v>Local curency costs</v>
          </cell>
        </row>
        <row r="305">
          <cell r="A305" t="str">
            <v>Наименование 1</v>
          </cell>
          <cell r="B305" t="str">
            <v>Leasing item</v>
          </cell>
        </row>
        <row r="306">
          <cell r="A306" t="str">
            <v>Тип лизинга</v>
          </cell>
          <cell r="B306" t="str">
            <v>Leasing type</v>
          </cell>
          <cell r="C306">
            <v>1</v>
          </cell>
          <cell r="D306" t="str">
            <v>с выкупом (учет на балансе лизингодателя)</v>
          </cell>
        </row>
        <row r="307">
          <cell r="A307" t="str">
            <v>№ год ввода в действие оборудования</v>
          </cell>
          <cell r="B307" t="str">
            <v>№ год of asset operation start</v>
          </cell>
          <cell r="C307">
            <v>1</v>
          </cell>
          <cell r="D307" t="str">
            <v>год</v>
          </cell>
        </row>
        <row r="308">
          <cell r="A308" t="str">
            <v>Срок лизинга</v>
          </cell>
          <cell r="B308" t="str">
            <v>Leasing duration</v>
          </cell>
          <cell r="C308">
            <v>0</v>
          </cell>
          <cell r="D308" t="str">
            <v>год</v>
          </cell>
        </row>
        <row r="309">
          <cell r="A309" t="str">
            <v>Первоначальная стоимость </v>
          </cell>
          <cell r="B309" t="str">
            <v>Book value</v>
          </cell>
          <cell r="C309">
            <v>0</v>
          </cell>
          <cell r="D309" t="str">
            <v>тыс.руб.</v>
          </cell>
          <cell r="E309" t="str">
            <v>,on_end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A310" t="str">
            <v>Остаточная стоимость</v>
          </cell>
          <cell r="B310" t="str">
            <v>Net book value (free from depreciation)</v>
          </cell>
          <cell r="D310" t="str">
            <v>тыс.руб.</v>
          </cell>
          <cell r="E310" t="str">
            <v>,on_end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</row>
        <row r="311">
          <cell r="A311" t="str">
            <v>Амортизационные отчисления</v>
          </cell>
          <cell r="B311" t="str">
            <v>Depreciation charges</v>
          </cell>
          <cell r="C311">
            <v>0.1</v>
          </cell>
          <cell r="D311" t="str">
            <v>тыс.руб.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L311">
            <v>0</v>
          </cell>
        </row>
        <row r="312">
          <cell r="A312" t="str">
            <v> - вознаграждение лизингодателю</v>
          </cell>
          <cell r="B312" t="str">
            <v> - interest paid</v>
          </cell>
          <cell r="C312">
            <v>0.1</v>
          </cell>
          <cell r="D312" t="str">
            <v>тыс.руб.</v>
          </cell>
          <cell r="E312" t="str">
            <v>,del_str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L312">
            <v>0</v>
          </cell>
        </row>
        <row r="313">
          <cell r="A313" t="str">
            <v> - расчетная величина лизинговых платежей</v>
          </cell>
          <cell r="B313" t="str">
            <v> - computational size of payments</v>
          </cell>
          <cell r="C313">
            <v>0</v>
          </cell>
          <cell r="D313" t="str">
            <v>тыс.руб.</v>
          </cell>
          <cell r="E313" t="str">
            <v>lis11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L313">
            <v>0</v>
          </cell>
        </row>
        <row r="314">
          <cell r="A314" t="str">
            <v> - реальные выплаты лизинговых платежей</v>
          </cell>
          <cell r="B314" t="str">
            <v> - real payments</v>
          </cell>
          <cell r="D314" t="str">
            <v>тыс.руб.</v>
          </cell>
          <cell r="E314" t="str">
            <v>lis2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L314">
            <v>0</v>
          </cell>
        </row>
        <row r="315">
          <cell r="A315" t="str">
            <v>НДС к платежам</v>
          </cell>
          <cell r="B315" t="str">
            <v>VAT to payments</v>
          </cell>
          <cell r="C315">
            <v>0.18</v>
          </cell>
          <cell r="D315" t="str">
            <v>тыс.руб.</v>
          </cell>
          <cell r="E315" t="str">
            <v>lis3,del_str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L315">
            <v>0</v>
          </cell>
        </row>
        <row r="316">
          <cell r="A316" t="str">
            <v> - авансы, уплаченные лизингодателю</v>
          </cell>
          <cell r="B316" t="str">
            <v> - advance payment to lessor</v>
          </cell>
          <cell r="D316" t="str">
            <v>тыс.руб.</v>
          </cell>
          <cell r="E316" t="str">
            <v>lis4,del_str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</row>
        <row r="317">
          <cell r="A317" t="str">
            <v> - арендованные основные средства (ост.стоимость)</v>
          </cell>
          <cell r="B317" t="str">
            <v> - rented fixed assets (free from deprecation)</v>
          </cell>
          <cell r="D317" t="str">
            <v>тыс.руб.</v>
          </cell>
          <cell r="E317" t="str">
            <v>lis5,on_end,del_str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A318" t="str">
            <v> - налогооблагаемое имущество</v>
          </cell>
          <cell r="B318" t="str">
            <v> - taxable property</v>
          </cell>
          <cell r="D318" t="str">
            <v>тыс.руб.</v>
          </cell>
          <cell r="E318" t="str">
            <v>lis6,del_str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</row>
        <row r="319">
          <cell r="A319" t="str">
            <v>Выкуп основных средств по остаточной стоимости</v>
          </cell>
          <cell r="B319" t="str">
            <v>The repayment of fixed assets (net book value)</v>
          </cell>
          <cell r="D319" t="str">
            <v>тыс.руб.</v>
          </cell>
          <cell r="E319" t="str">
            <v>lis7,del_str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L319">
            <v>0</v>
          </cell>
        </row>
        <row r="320">
          <cell r="A320" t="str">
            <v> - балансовая стоимость после выкупа</v>
          </cell>
          <cell r="B320" t="str">
            <v> - book value after repayment</v>
          </cell>
          <cell r="D320" t="str">
            <v>тыс.руб.</v>
          </cell>
          <cell r="E320" t="str">
            <v>lis12,on_end,del_str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</row>
        <row r="321">
          <cell r="A321" t="str">
            <v> - остаточная стоимость после выкупа</v>
          </cell>
          <cell r="B321" t="str">
            <v> - net book value after repayment</v>
          </cell>
          <cell r="D321" t="str">
            <v>тыс.руб.</v>
          </cell>
          <cell r="E321" t="str">
            <v>lis8,on_end,del_str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A322" t="str">
            <v> - амортизация средств у лизингополучателя после выкупа</v>
          </cell>
          <cell r="B322" t="str">
            <v> - depreciation charges after repayment</v>
          </cell>
          <cell r="D322" t="str">
            <v>тыс.руб.</v>
          </cell>
          <cell r="E322" t="str">
            <v>lis9,del_str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L322">
            <v>0</v>
          </cell>
        </row>
        <row r="323">
          <cell r="A323" t="str">
            <v>НДС уплаченный при выкупе </v>
          </cell>
          <cell r="B323" t="str">
            <v>VAT paid at the repayment</v>
          </cell>
          <cell r="C323">
            <v>0.18</v>
          </cell>
          <cell r="D323" t="str">
            <v>тыс.руб.</v>
          </cell>
          <cell r="E323" t="str">
            <v>lis10,del_str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L323">
            <v>0</v>
          </cell>
        </row>
        <row r="325">
          <cell r="A325" t="str">
            <v> = Итого лизинговые платежи, начисленные</v>
          </cell>
          <cell r="B325" t="str">
            <v> = Leasing payments (charged)</v>
          </cell>
          <cell r="D325" t="str">
            <v>тыс.руб.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L325">
            <v>0</v>
          </cell>
        </row>
        <row r="326">
          <cell r="A326" t="str">
            <v> = Итого лизинговые платежи, уплаченные</v>
          </cell>
          <cell r="B326" t="str">
            <v> = Leasing payments (paid)</v>
          </cell>
          <cell r="D326" t="str">
            <v>тыс.руб.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L326">
            <v>0</v>
          </cell>
        </row>
        <row r="327">
          <cell r="A327" t="str">
            <v> = Итого НДС к лизинговым платежам</v>
          </cell>
          <cell r="B327" t="str">
            <v> = VAT to payments</v>
          </cell>
          <cell r="D327" t="str">
            <v>тыс.руб.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L327">
            <v>0</v>
          </cell>
        </row>
        <row r="328">
          <cell r="A328" t="str">
            <v> = Итого выкуп основных средств</v>
          </cell>
          <cell r="B328" t="str">
            <v> = The repayment of fixed assets </v>
          </cell>
          <cell r="D328" t="str">
            <v>тыс.руб.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L328">
            <v>0</v>
          </cell>
        </row>
        <row r="330">
          <cell r="A330" t="str">
            <v> - авансы, уплаченные лизингодателю (местная валюта)</v>
          </cell>
          <cell r="B330" t="str">
            <v> - advance payment to lessor (in local currency)</v>
          </cell>
          <cell r="D330" t="str">
            <v>тыс.руб.</v>
          </cell>
          <cell r="E330" t="str">
            <v>,del_str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</row>
        <row r="331">
          <cell r="A331" t="str">
            <v> - арендованные основные средства </v>
          </cell>
          <cell r="B331" t="str">
            <v> - rented fixed assets (free from deprecation)</v>
          </cell>
          <cell r="D331" t="str">
            <v>тыс.руб.</v>
          </cell>
          <cell r="E331" t="str">
            <v>,on_end,del_str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</row>
        <row r="332">
          <cell r="A332" t="str">
            <v> - налогооблагаемое имущество</v>
          </cell>
          <cell r="B332" t="str">
            <v> - taxable property</v>
          </cell>
          <cell r="D332" t="str">
            <v>тыс.руб.</v>
          </cell>
          <cell r="E332" t="str">
            <v>,del_str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A333" t="str">
            <v> - балансовая стоимость после выкупа</v>
          </cell>
          <cell r="B333" t="str">
            <v> - book value after repayment</v>
          </cell>
          <cell r="D333" t="str">
            <v>тыс.руб.</v>
          </cell>
          <cell r="E333" t="str">
            <v>,on_end,del_str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</row>
        <row r="334">
          <cell r="A334" t="str">
            <v> - остаточная стоимость после выкупа</v>
          </cell>
          <cell r="B334" t="str">
            <v> - net book value after repayment</v>
          </cell>
          <cell r="D334" t="str">
            <v>тыс.руб.</v>
          </cell>
          <cell r="E334" t="str">
            <v>,on_end,del_str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</row>
        <row r="335">
          <cell r="A335" t="str">
            <v> - амортизация средств у лизингополучателя после выкупа</v>
          </cell>
          <cell r="B335" t="str">
            <v> - depreciation charges after repayment</v>
          </cell>
          <cell r="D335" t="str">
            <v>тыс.руб.</v>
          </cell>
          <cell r="E335" t="str">
            <v>,del_str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</row>
        <row r="336">
          <cell r="A336" t="str">
            <v>НДС уплаченный при выкупе </v>
          </cell>
          <cell r="B336" t="str">
            <v>VAT paid at the repayment</v>
          </cell>
          <cell r="D336" t="str">
            <v>тыс.руб.</v>
          </cell>
          <cell r="E336" t="str">
            <v>,del_str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</row>
        <row r="339">
          <cell r="A339" t="str">
            <v>Цт=максимальные Постоянные цены</v>
          </cell>
          <cell r="B339" t="str">
            <v>Цт=максимальные Постоянные цены</v>
          </cell>
          <cell r="AK339" t="str">
            <v>АЛЬТ-Инвест™ 3.0</v>
          </cell>
        </row>
        <row r="340">
          <cell r="A340" t="str">
            <v>НОРМИРУЕМЫЕ ТЕКУЩИЕ АКТИВЫ</v>
          </cell>
          <cell r="B340" t="str">
            <v>CURRENT ASSETS REQUIREMENT</v>
          </cell>
          <cell r="F340" t="str">
            <v>"0"</v>
          </cell>
          <cell r="G340" t="str">
            <v>1 год</v>
          </cell>
          <cell r="H340" t="str">
            <v>2 год</v>
          </cell>
          <cell r="I340" t="str">
            <v>3 год</v>
          </cell>
          <cell r="J340" t="str">
            <v>4 год</v>
          </cell>
          <cell r="K340" t="str">
            <v>5 год</v>
          </cell>
          <cell r="L340" t="str">
            <v>6 год</v>
          </cell>
          <cell r="M340" t="str">
            <v>7 год</v>
          </cell>
          <cell r="N340" t="str">
            <v>8 год</v>
          </cell>
          <cell r="O340" t="str">
            <v>9 год</v>
          </cell>
          <cell r="P340" t="str">
            <v>10 год</v>
          </cell>
          <cell r="Q340" t="str">
            <v>11 год</v>
          </cell>
          <cell r="R340" t="str">
            <v>12 год</v>
          </cell>
          <cell r="S340" t="str">
            <v>13 год</v>
          </cell>
          <cell r="T340" t="str">
            <v>14 год</v>
          </cell>
          <cell r="U340" t="str">
            <v>15 год</v>
          </cell>
          <cell r="V340" t="str">
            <v>16 год</v>
          </cell>
          <cell r="W340" t="str">
            <v>17 год</v>
          </cell>
          <cell r="X340" t="str">
            <v>18 год</v>
          </cell>
          <cell r="Y340" t="str">
            <v>19 год</v>
          </cell>
          <cell r="Z340" t="str">
            <v>20 год</v>
          </cell>
          <cell r="AA340" t="str">
            <v>21 год</v>
          </cell>
          <cell r="AB340" t="str">
            <v>22 год</v>
          </cell>
          <cell r="AC340" t="str">
            <v>23 год</v>
          </cell>
          <cell r="AD340" t="str">
            <v>24 год</v>
          </cell>
          <cell r="AE340" t="str">
            <v>25 год</v>
          </cell>
          <cell r="AF340" t="str">
            <v>26 год</v>
          </cell>
          <cell r="AG340" t="str">
            <v>27 год</v>
          </cell>
          <cell r="AH340" t="str">
            <v>28 год</v>
          </cell>
          <cell r="AI340" t="str">
            <v>29 год</v>
          </cell>
          <cell r="AJ340" t="str">
            <v>30 год</v>
          </cell>
        </row>
        <row r="342">
          <cell r="A342" t="str">
            <v>1. ЗАПАСЫ СЫРЬЯ И МАТЕРИАЛОВ</v>
          </cell>
          <cell r="B342" t="str">
            <v>1. STOCKS (INVENTORIES) OF RAW MATERIALS &amp; SUPPLIES</v>
          </cell>
        </row>
        <row r="343">
          <cell r="A343" t="str">
            <v>Наименование</v>
          </cell>
          <cell r="B343" t="str">
            <v>Stock</v>
          </cell>
          <cell r="C343" t="str">
            <v>Страх.</v>
          </cell>
          <cell r="D343" t="str">
            <v>Оборот,</v>
          </cell>
        </row>
        <row r="344">
          <cell r="A344" t="str">
            <v>запаса</v>
          </cell>
          <cell r="B344" t="str">
            <v>Name</v>
          </cell>
          <cell r="C344" t="str">
            <v>запас, дни</v>
          </cell>
          <cell r="D344" t="str">
            <v>дни</v>
          </cell>
        </row>
        <row r="345">
          <cell r="A345" t="str">
            <v>на энергию и тепло</v>
          </cell>
          <cell r="B345" t="str">
            <v>Cost name 1</v>
          </cell>
          <cell r="C345">
            <v>0</v>
          </cell>
          <cell r="D345">
            <v>10</v>
          </cell>
          <cell r="E345" t="str">
            <v>,on_end,del_str</v>
          </cell>
          <cell r="G345">
            <v>0</v>
          </cell>
          <cell r="H345">
            <v>1183.4072249999997</v>
          </cell>
          <cell r="I345">
            <v>1418.03948</v>
          </cell>
          <cell r="J345">
            <v>1660.868495</v>
          </cell>
          <cell r="K345">
            <v>1903.6975100000002</v>
          </cell>
          <cell r="L345">
            <v>2146.526525</v>
          </cell>
          <cell r="M345">
            <v>2315.174862</v>
          </cell>
          <cell r="N345">
            <v>2483.8231989999995</v>
          </cell>
          <cell r="O345">
            <v>2652.471535999999</v>
          </cell>
          <cell r="P345">
            <v>2821.119872999999</v>
          </cell>
          <cell r="Q345">
            <v>2989.7682099999997</v>
          </cell>
          <cell r="R345">
            <v>3186.9002879999994</v>
          </cell>
          <cell r="S345">
            <v>3384.0323659999995</v>
          </cell>
          <cell r="T345">
            <v>3581.1644439999995</v>
          </cell>
          <cell r="U345">
            <v>3778.296522</v>
          </cell>
          <cell r="V345">
            <v>3778.296522</v>
          </cell>
          <cell r="W345">
            <v>3778.296522</v>
          </cell>
          <cell r="X345">
            <v>3778.296522</v>
          </cell>
          <cell r="Y345">
            <v>3778.296522</v>
          </cell>
          <cell r="Z345">
            <v>3778.296522</v>
          </cell>
          <cell r="AA345">
            <v>3778.296522</v>
          </cell>
          <cell r="AB345">
            <v>3778.296522</v>
          </cell>
          <cell r="AC345">
            <v>3778.296522</v>
          </cell>
          <cell r="AD345">
            <v>3778.296522</v>
          </cell>
          <cell r="AE345">
            <v>3778.296522</v>
          </cell>
          <cell r="AF345">
            <v>3778.296522</v>
          </cell>
          <cell r="AG345">
            <v>3778.296522</v>
          </cell>
          <cell r="AH345">
            <v>3778.296522</v>
          </cell>
          <cell r="AI345">
            <v>3778.296522</v>
          </cell>
          <cell r="AJ345">
            <v>3778.296522</v>
          </cell>
        </row>
        <row r="346">
          <cell r="E346" t="str">
            <v>,del_str</v>
          </cell>
        </row>
        <row r="347">
          <cell r="A347" t="str">
            <v> = Средняя стоимость запасов (местная валюта)</v>
          </cell>
          <cell r="B347" t="str">
            <v> = Average stock value (local currency)</v>
          </cell>
          <cell r="D347" t="str">
            <v>тыс.руб.</v>
          </cell>
          <cell r="E347" t="str">
            <v>,on_end,del_str</v>
          </cell>
          <cell r="G347">
            <v>0</v>
          </cell>
          <cell r="H347">
            <v>1183.4072249999997</v>
          </cell>
          <cell r="I347">
            <v>1418.03948</v>
          </cell>
          <cell r="J347">
            <v>1660.868495</v>
          </cell>
          <cell r="K347">
            <v>1903.6975100000002</v>
          </cell>
          <cell r="L347">
            <v>2146.526525</v>
          </cell>
          <cell r="M347">
            <v>2315.174862</v>
          </cell>
          <cell r="N347">
            <v>2483.8231989999995</v>
          </cell>
          <cell r="O347">
            <v>2652.471535999999</v>
          </cell>
          <cell r="P347">
            <v>2821.119872999999</v>
          </cell>
          <cell r="Q347">
            <v>2989.7682099999997</v>
          </cell>
          <cell r="R347">
            <v>3186.9002879999994</v>
          </cell>
          <cell r="S347">
            <v>3384.0323659999995</v>
          </cell>
          <cell r="T347">
            <v>3581.1644439999995</v>
          </cell>
          <cell r="U347">
            <v>3778.296522</v>
          </cell>
          <cell r="V347">
            <v>3778.296522</v>
          </cell>
          <cell r="W347">
            <v>3778.296522</v>
          </cell>
          <cell r="X347">
            <v>3778.296522</v>
          </cell>
          <cell r="Y347">
            <v>3778.296522</v>
          </cell>
          <cell r="Z347">
            <v>3778.296522</v>
          </cell>
          <cell r="AA347">
            <v>3778.296522</v>
          </cell>
          <cell r="AB347">
            <v>3778.296522</v>
          </cell>
          <cell r="AC347">
            <v>3778.296522</v>
          </cell>
          <cell r="AD347">
            <v>3778.296522</v>
          </cell>
          <cell r="AE347">
            <v>3778.296522</v>
          </cell>
          <cell r="AF347">
            <v>3778.296522</v>
          </cell>
          <cell r="AG347">
            <v>3778.296522</v>
          </cell>
          <cell r="AH347">
            <v>3778.296522</v>
          </cell>
          <cell r="AI347">
            <v>3778.296522</v>
          </cell>
          <cell r="AJ347">
            <v>3778.296522</v>
          </cell>
        </row>
        <row r="348">
          <cell r="A348" t="str">
            <v>на энергию</v>
          </cell>
          <cell r="B348" t="str">
            <v>Cost name 1</v>
          </cell>
          <cell r="C348">
            <v>10</v>
          </cell>
          <cell r="D348">
            <v>30</v>
          </cell>
          <cell r="E348" t="str">
            <v>,on_end,del_str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</row>
        <row r="349">
          <cell r="E349" t="str">
            <v>,del_str</v>
          </cell>
        </row>
        <row r="350">
          <cell r="A350" t="str">
            <v> = Средняя стоимость запасов (иностранная валюта)</v>
          </cell>
          <cell r="B350" t="str">
            <v> = Average stock value (foreign currency)</v>
          </cell>
          <cell r="D350" t="str">
            <v>тыс.долл.</v>
          </cell>
          <cell r="E350" t="str">
            <v>,on_end,del_str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</row>
        <row r="352">
          <cell r="A352" t="str">
            <v> = Итого средняя стоимость запасов</v>
          </cell>
          <cell r="B352" t="str">
            <v> = Total average stock value</v>
          </cell>
          <cell r="D352" t="str">
            <v>тыс.руб.</v>
          </cell>
          <cell r="E352" t="str">
            <v>,on_end</v>
          </cell>
          <cell r="G352">
            <v>0</v>
          </cell>
          <cell r="H352">
            <v>1183.4072249999997</v>
          </cell>
          <cell r="I352">
            <v>1418.03948</v>
          </cell>
          <cell r="J352">
            <v>1660.868495</v>
          </cell>
          <cell r="K352">
            <v>1903.6975100000002</v>
          </cell>
          <cell r="L352">
            <v>2146.526525</v>
          </cell>
          <cell r="M352">
            <v>2315.174862</v>
          </cell>
          <cell r="N352">
            <v>2483.8231989999995</v>
          </cell>
          <cell r="O352">
            <v>2652.471535999999</v>
          </cell>
          <cell r="P352">
            <v>2821.119872999999</v>
          </cell>
          <cell r="Q352">
            <v>2989.7682099999997</v>
          </cell>
          <cell r="R352">
            <v>3186.9002879999994</v>
          </cell>
          <cell r="S352">
            <v>3384.0323659999995</v>
          </cell>
          <cell r="T352">
            <v>3581.1644439999995</v>
          </cell>
          <cell r="U352">
            <v>3778.296522</v>
          </cell>
          <cell r="V352">
            <v>3778.296522</v>
          </cell>
          <cell r="W352">
            <v>3778.296522</v>
          </cell>
          <cell r="X352">
            <v>3778.296522</v>
          </cell>
          <cell r="Y352">
            <v>3778.296522</v>
          </cell>
          <cell r="Z352">
            <v>3778.296522</v>
          </cell>
          <cell r="AA352">
            <v>3778.296522</v>
          </cell>
          <cell r="AB352">
            <v>3778.296522</v>
          </cell>
          <cell r="AC352">
            <v>3778.296522</v>
          </cell>
          <cell r="AD352">
            <v>3778.296522</v>
          </cell>
          <cell r="AE352">
            <v>3778.296522</v>
          </cell>
          <cell r="AF352">
            <v>3778.296522</v>
          </cell>
          <cell r="AG352">
            <v>3778.296522</v>
          </cell>
          <cell r="AH352">
            <v>3778.296522</v>
          </cell>
          <cell r="AI352">
            <v>3778.296522</v>
          </cell>
          <cell r="AJ352">
            <v>3778.296522</v>
          </cell>
        </row>
        <row r="353">
          <cell r="A353" t="str">
            <v> - местная валюта</v>
          </cell>
          <cell r="B353" t="str">
            <v> - in local currency</v>
          </cell>
          <cell r="D353" t="str">
            <v>тыс.руб.</v>
          </cell>
          <cell r="E353" t="str">
            <v>,on_end</v>
          </cell>
          <cell r="G353">
            <v>0</v>
          </cell>
          <cell r="H353">
            <v>1183.4072249999997</v>
          </cell>
          <cell r="I353">
            <v>1418.03948</v>
          </cell>
          <cell r="J353">
            <v>1660.868495</v>
          </cell>
          <cell r="K353">
            <v>1903.6975100000002</v>
          </cell>
          <cell r="L353">
            <v>2146.526525</v>
          </cell>
          <cell r="M353">
            <v>2315.174862</v>
          </cell>
          <cell r="N353">
            <v>2483.8231989999995</v>
          </cell>
          <cell r="O353">
            <v>2652.471535999999</v>
          </cell>
          <cell r="P353">
            <v>2821.119872999999</v>
          </cell>
          <cell r="Q353">
            <v>2989.7682099999997</v>
          </cell>
          <cell r="R353">
            <v>3186.9002879999994</v>
          </cell>
          <cell r="S353">
            <v>3384.0323659999995</v>
          </cell>
          <cell r="T353">
            <v>3581.1644439999995</v>
          </cell>
          <cell r="U353">
            <v>3778.296522</v>
          </cell>
          <cell r="V353">
            <v>3778.296522</v>
          </cell>
          <cell r="W353">
            <v>3778.296522</v>
          </cell>
          <cell r="X353">
            <v>3778.296522</v>
          </cell>
          <cell r="Y353">
            <v>3778.296522</v>
          </cell>
          <cell r="Z353">
            <v>3778.296522</v>
          </cell>
          <cell r="AA353">
            <v>3778.296522</v>
          </cell>
          <cell r="AB353">
            <v>3778.296522</v>
          </cell>
          <cell r="AC353">
            <v>3778.296522</v>
          </cell>
          <cell r="AD353">
            <v>3778.296522</v>
          </cell>
          <cell r="AE353">
            <v>3778.296522</v>
          </cell>
          <cell r="AF353">
            <v>3778.296522</v>
          </cell>
          <cell r="AG353">
            <v>3778.296522</v>
          </cell>
          <cell r="AH353">
            <v>3778.296522</v>
          </cell>
          <cell r="AI353">
            <v>3778.296522</v>
          </cell>
          <cell r="AJ353">
            <v>3778.296522</v>
          </cell>
        </row>
        <row r="354">
          <cell r="A354" t="str">
            <v> - иностранная валюта</v>
          </cell>
          <cell r="B354" t="str">
            <v> - in foreign currency</v>
          </cell>
          <cell r="D354" t="str">
            <v>тыс.долл.</v>
          </cell>
          <cell r="E354" t="str">
            <v>,on_end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</row>
        <row r="356">
          <cell r="A356" t="str">
            <v> = Итого НДС к запасам</v>
          </cell>
          <cell r="B356" t="str">
            <v> = VAT to stocks</v>
          </cell>
          <cell r="D356" t="str">
            <v>тыс.руб.</v>
          </cell>
          <cell r="E356" t="str">
            <v>,on_end</v>
          </cell>
          <cell r="G356">
            <v>0</v>
          </cell>
          <cell r="H356">
            <v>213.01330049999993</v>
          </cell>
          <cell r="I356">
            <v>255.24710639999998</v>
          </cell>
          <cell r="J356">
            <v>298.9563291</v>
          </cell>
          <cell r="K356">
            <v>342.6655518</v>
          </cell>
          <cell r="L356">
            <v>386.3747745</v>
          </cell>
          <cell r="M356">
            <v>416.73147515999995</v>
          </cell>
          <cell r="N356">
            <v>447.0881758199999</v>
          </cell>
          <cell r="O356">
            <v>477.44487647999983</v>
          </cell>
          <cell r="P356">
            <v>507.80157713999984</v>
          </cell>
          <cell r="Q356">
            <v>538.1582778</v>
          </cell>
          <cell r="R356">
            <v>573.6420518399999</v>
          </cell>
          <cell r="S356">
            <v>609.1258258799999</v>
          </cell>
          <cell r="T356">
            <v>644.6095999199999</v>
          </cell>
          <cell r="U356">
            <v>680.09337396</v>
          </cell>
          <cell r="V356">
            <v>680.09337396</v>
          </cell>
          <cell r="W356">
            <v>680.09337396</v>
          </cell>
          <cell r="X356">
            <v>680.09337396</v>
          </cell>
          <cell r="Y356">
            <v>680.09337396</v>
          </cell>
          <cell r="Z356">
            <v>680.09337396</v>
          </cell>
          <cell r="AA356">
            <v>680.09337396</v>
          </cell>
          <cell r="AB356">
            <v>680.09337396</v>
          </cell>
          <cell r="AC356">
            <v>680.09337396</v>
          </cell>
          <cell r="AD356">
            <v>680.09337396</v>
          </cell>
          <cell r="AE356">
            <v>680.09337396</v>
          </cell>
          <cell r="AF356">
            <v>680.09337396</v>
          </cell>
          <cell r="AG356">
            <v>680.09337396</v>
          </cell>
          <cell r="AH356">
            <v>680.09337396</v>
          </cell>
          <cell r="AI356">
            <v>680.09337396</v>
          </cell>
          <cell r="AJ356">
            <v>680.09337396</v>
          </cell>
        </row>
        <row r="358">
          <cell r="A358" t="str">
            <v>2. НЕЗАВЕРШЕННАЯ  ПРОДУКЦИЯ</v>
          </cell>
          <cell r="B358" t="str">
            <v>2. SEMI-FINISHED PRODUCTION (WORK-IN-PROGRESS)</v>
          </cell>
        </row>
        <row r="359">
          <cell r="A359" t="str">
            <v>Цикл производства</v>
          </cell>
          <cell r="B359" t="str">
            <v>Production cycle</v>
          </cell>
          <cell r="D359" t="str">
            <v>дни</v>
          </cell>
          <cell r="F359">
            <v>0</v>
          </cell>
        </row>
        <row r="360">
          <cell r="A360" t="str">
            <v>Стоимость незавершенного производства</v>
          </cell>
          <cell r="B360" t="str">
            <v>Cost of semi-finished production</v>
          </cell>
          <cell r="D360" t="str">
            <v>тыс.руб.</v>
          </cell>
          <cell r="E360" t="str">
            <v>on_end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A361" t="str">
            <v> - местная валюта</v>
          </cell>
          <cell r="B361" t="str">
            <v> - in local currency</v>
          </cell>
          <cell r="D361" t="str">
            <v>тыс.руб.</v>
          </cell>
          <cell r="E361" t="str">
            <v>on_end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</row>
        <row r="362">
          <cell r="A362" t="str">
            <v> - иностранная валюта</v>
          </cell>
          <cell r="B362" t="str">
            <v> - in foreign currency</v>
          </cell>
          <cell r="D362" t="str">
            <v>тыс.долл.</v>
          </cell>
          <cell r="E362" t="str">
            <v>on_end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4">
          <cell r="A364" t="str">
            <v>3. ЗАПАСЫ ГОТОВОЙ ПРОДУКЦИИ</v>
          </cell>
          <cell r="B364" t="str">
            <v>3. FINISHED PRODUCTS</v>
          </cell>
        </row>
        <row r="365">
          <cell r="A365" t="str">
            <v>Периодичность отгрузки</v>
          </cell>
          <cell r="B365" t="str">
            <v>Stock period</v>
          </cell>
          <cell r="D365" t="str">
            <v>дни</v>
          </cell>
          <cell r="F365">
            <v>0</v>
          </cell>
        </row>
        <row r="366">
          <cell r="A366" t="str">
            <v>Страховой запас</v>
          </cell>
          <cell r="B366" t="str">
            <v>Insurance stock</v>
          </cell>
          <cell r="D366" t="str">
            <v>дни</v>
          </cell>
          <cell r="F366">
            <v>0</v>
          </cell>
        </row>
        <row r="367">
          <cell r="A367" t="str">
            <v>Стоимость готовой продукции</v>
          </cell>
          <cell r="B367" t="str">
            <v>Cost of finished products</v>
          </cell>
          <cell r="D367" t="str">
            <v>тыс.руб.</v>
          </cell>
          <cell r="E367" t="str">
            <v>on_end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A368" t="str">
            <v> - местная валюта</v>
          </cell>
          <cell r="B368" t="str">
            <v> - in local currency</v>
          </cell>
          <cell r="D368" t="str">
            <v>тыс.руб.</v>
          </cell>
          <cell r="E368" t="str">
            <v>on_end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A369" t="str">
            <v> - иностранная валюта</v>
          </cell>
          <cell r="B369" t="str">
            <v> - in foreign currency</v>
          </cell>
          <cell r="D369" t="str">
            <v>тыс.долл.</v>
          </cell>
          <cell r="E369" t="str">
            <v>on_end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1">
          <cell r="A371" t="str">
            <v>4. КРЕДИТЫ ПОКУПАТЕЛЯМ (СЧЕТА К ПОЛУЧЕНИЮ)</v>
          </cell>
          <cell r="B371" t="str">
            <v>4. CREDITS TO BUYERS (RECEIVABLES)</v>
          </cell>
        </row>
        <row r="372">
          <cell r="A372" t="str">
            <v>Доля кредитов в выручке</v>
          </cell>
          <cell r="B372" t="str">
            <v>Per cent of sales revenues to credits</v>
          </cell>
          <cell r="D372" t="str">
            <v>%</v>
          </cell>
          <cell r="F372">
            <v>1</v>
          </cell>
        </row>
        <row r="373">
          <cell r="A373" t="str">
            <v>Средний срок кредита</v>
          </cell>
          <cell r="B373" t="str">
            <v>Average term of credits </v>
          </cell>
          <cell r="D373" t="str">
            <v>дни</v>
          </cell>
          <cell r="F373">
            <v>30</v>
          </cell>
        </row>
        <row r="374">
          <cell r="A374" t="str">
            <v>Сумма счетов к получению</v>
          </cell>
          <cell r="B374" t="str">
            <v>Sum of accounts receivable</v>
          </cell>
          <cell r="D374" t="str">
            <v>тыс.руб.</v>
          </cell>
          <cell r="E374" t="str">
            <v>on_end</v>
          </cell>
          <cell r="G374">
            <v>0</v>
          </cell>
          <cell r="H374">
            <v>14051.534337796973</v>
          </cell>
          <cell r="I374">
            <v>16351.76867559395</v>
          </cell>
          <cell r="J374">
            <v>19175.465292440604</v>
          </cell>
          <cell r="K374">
            <v>21999.161909287257</v>
          </cell>
          <cell r="L374">
            <v>24822.858526133907</v>
          </cell>
          <cell r="M374">
            <v>27050.21199758099</v>
          </cell>
          <cell r="N374">
            <v>29277.56546902808</v>
          </cell>
          <cell r="O374">
            <v>31504.91894047516</v>
          </cell>
          <cell r="P374">
            <v>33732.272411922255</v>
          </cell>
          <cell r="Q374">
            <v>35959.62588336933</v>
          </cell>
          <cell r="R374">
            <v>38430.81913451403</v>
          </cell>
          <cell r="S374">
            <v>40902.012385658745</v>
          </cell>
          <cell r="T374">
            <v>43373.205636803454</v>
          </cell>
          <cell r="U374">
            <v>45844.39888794816</v>
          </cell>
          <cell r="V374">
            <v>45844.39888794816</v>
          </cell>
          <cell r="W374">
            <v>45844.39888794816</v>
          </cell>
          <cell r="X374">
            <v>45844.39888794816</v>
          </cell>
          <cell r="Y374">
            <v>45844.39888794816</v>
          </cell>
          <cell r="Z374">
            <v>45844.39888794816</v>
          </cell>
          <cell r="AA374">
            <v>45844.39888794816</v>
          </cell>
          <cell r="AB374">
            <v>45844.39888794816</v>
          </cell>
          <cell r="AC374">
            <v>45844.39888794816</v>
          </cell>
          <cell r="AD374">
            <v>45844.39888794816</v>
          </cell>
          <cell r="AE374">
            <v>45844.39888794816</v>
          </cell>
          <cell r="AF374">
            <v>45844.39888794816</v>
          </cell>
          <cell r="AG374">
            <v>45844.39888794816</v>
          </cell>
          <cell r="AH374">
            <v>45844.39888794816</v>
          </cell>
          <cell r="AI374">
            <v>45844.39888794816</v>
          </cell>
          <cell r="AJ374">
            <v>45844.39888794816</v>
          </cell>
        </row>
        <row r="375">
          <cell r="A375" t="str">
            <v> - местная валюта</v>
          </cell>
          <cell r="B375" t="str">
            <v> - in local currency</v>
          </cell>
          <cell r="D375" t="str">
            <v>тыс.руб.</v>
          </cell>
          <cell r="E375" t="str">
            <v>on_end</v>
          </cell>
          <cell r="G375">
            <v>0</v>
          </cell>
          <cell r="H375">
            <v>14051.534337796973</v>
          </cell>
          <cell r="I375">
            <v>16351.76867559395</v>
          </cell>
          <cell r="J375">
            <v>19175.465292440604</v>
          </cell>
          <cell r="K375">
            <v>21999.161909287257</v>
          </cell>
          <cell r="L375">
            <v>24822.858526133907</v>
          </cell>
          <cell r="M375">
            <v>27050.21199758099</v>
          </cell>
          <cell r="N375">
            <v>29277.56546902808</v>
          </cell>
          <cell r="O375">
            <v>31504.91894047516</v>
          </cell>
          <cell r="P375">
            <v>33732.272411922255</v>
          </cell>
          <cell r="Q375">
            <v>35959.62588336933</v>
          </cell>
          <cell r="R375">
            <v>38430.81913451403</v>
          </cell>
          <cell r="S375">
            <v>40902.012385658745</v>
          </cell>
          <cell r="T375">
            <v>43373.205636803454</v>
          </cell>
          <cell r="U375">
            <v>45844.39888794816</v>
          </cell>
          <cell r="V375">
            <v>45844.39888794816</v>
          </cell>
          <cell r="W375">
            <v>45844.39888794816</v>
          </cell>
          <cell r="X375">
            <v>45844.39888794816</v>
          </cell>
          <cell r="Y375">
            <v>45844.39888794816</v>
          </cell>
          <cell r="Z375">
            <v>45844.39888794816</v>
          </cell>
          <cell r="AA375">
            <v>45844.39888794816</v>
          </cell>
          <cell r="AB375">
            <v>45844.39888794816</v>
          </cell>
          <cell r="AC375">
            <v>45844.39888794816</v>
          </cell>
          <cell r="AD375">
            <v>45844.39888794816</v>
          </cell>
          <cell r="AE375">
            <v>45844.39888794816</v>
          </cell>
          <cell r="AF375">
            <v>45844.39888794816</v>
          </cell>
          <cell r="AG375">
            <v>45844.39888794816</v>
          </cell>
          <cell r="AH375">
            <v>45844.39888794816</v>
          </cell>
          <cell r="AI375">
            <v>45844.39888794816</v>
          </cell>
          <cell r="AJ375">
            <v>45844.39888794816</v>
          </cell>
        </row>
        <row r="376">
          <cell r="A376" t="str">
            <v> - иностранная валюта</v>
          </cell>
          <cell r="B376" t="str">
            <v> - in foreign currency</v>
          </cell>
          <cell r="D376" t="str">
            <v>тыс.долл.</v>
          </cell>
          <cell r="E376" t="str">
            <v>on_end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</row>
        <row r="378">
          <cell r="A378" t="str">
            <v>5. АВАНСЫ ПОСТАВЩИКАМ</v>
          </cell>
          <cell r="B378" t="str">
            <v>5. ADVANCE PAYMENTS TO SUPPLIERS</v>
          </cell>
        </row>
        <row r="379">
          <cell r="A379" t="str">
            <v>Доля авансов в прямых материальных затратах</v>
          </cell>
          <cell r="B379" t="str">
            <v>Per cent of direct material costs to advances</v>
          </cell>
          <cell r="D379" t="str">
            <v>%</v>
          </cell>
          <cell r="F379">
            <v>0</v>
          </cell>
          <cell r="G379" t="str">
            <v/>
          </cell>
        </row>
        <row r="380">
          <cell r="A380" t="str">
            <v>Средний срок авансовых платежей</v>
          </cell>
          <cell r="B380" t="str">
            <v>Average term of advance payments</v>
          </cell>
          <cell r="D380" t="str">
            <v>дни</v>
          </cell>
          <cell r="F380">
            <v>30</v>
          </cell>
        </row>
        <row r="381">
          <cell r="A381" t="str">
            <v>Сумма уплаченных авансов</v>
          </cell>
          <cell r="B381" t="str">
            <v>Sum of advances paid</v>
          </cell>
          <cell r="D381" t="str">
            <v>тыс.руб.</v>
          </cell>
          <cell r="E381" t="str">
            <v>on_end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</row>
        <row r="382">
          <cell r="A382" t="str">
            <v> - местная валюта</v>
          </cell>
          <cell r="B382" t="str">
            <v> - in local currency</v>
          </cell>
          <cell r="D382" t="str">
            <v>тыс.руб.</v>
          </cell>
          <cell r="E382" t="str">
            <v>on_end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A383" t="str">
            <v> - иностранная валюта</v>
          </cell>
          <cell r="B383" t="str">
            <v> - in foreign currency</v>
          </cell>
          <cell r="D383" t="str">
            <v>тыс.долл.</v>
          </cell>
          <cell r="E383" t="str">
            <v>on_end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</row>
        <row r="385">
          <cell r="A385" t="str">
            <v>6. РЕЗЕРВ ДЕНЕЖНЫХ СРЕДСТВ</v>
          </cell>
          <cell r="B385" t="str">
            <v>6. CASH RESERVES (CASH-IN-HAND)</v>
          </cell>
        </row>
        <row r="386">
          <cell r="A386" t="str">
            <v>Покрытие потребности</v>
          </cell>
          <cell r="B386" t="str">
            <v> Term of coverage</v>
          </cell>
          <cell r="D386" t="str">
            <v>дни</v>
          </cell>
          <cell r="F386">
            <v>30</v>
          </cell>
        </row>
        <row r="387">
          <cell r="A387" t="str">
            <v>Сумма</v>
          </cell>
          <cell r="B387" t="str">
            <v>Sum</v>
          </cell>
          <cell r="D387" t="str">
            <v>тыс.руб.</v>
          </cell>
          <cell r="E387" t="str">
            <v>on_end</v>
          </cell>
          <cell r="F387">
            <v>0</v>
          </cell>
          <cell r="G387">
            <v>1396.4205254999997</v>
          </cell>
          <cell r="H387">
            <v>2182.7135609</v>
          </cell>
          <cell r="I387">
            <v>2354.2522377</v>
          </cell>
          <cell r="J387">
            <v>2477.8277377</v>
          </cell>
          <cell r="K387">
            <v>2566.5932377</v>
          </cell>
          <cell r="L387">
            <v>2569.56603766</v>
          </cell>
          <cell r="M387">
            <v>2640.68286766</v>
          </cell>
          <cell r="N387">
            <v>2713.9332025599997</v>
          </cell>
          <cell r="O387">
            <v>2789.3810475070004</v>
          </cell>
          <cell r="P387">
            <v>2867.092327802411</v>
          </cell>
          <cell r="Q387">
            <v>2980.745760886682</v>
          </cell>
          <cell r="R387">
            <v>3063.189658152083</v>
          </cell>
          <cell r="S387">
            <v>3148.1068723354456</v>
          </cell>
          <cell r="T387">
            <v>3235.5716029443092</v>
          </cell>
          <cell r="U387">
            <v>3093.0444234314386</v>
          </cell>
          <cell r="V387">
            <v>3185.835756134382</v>
          </cell>
          <cell r="W387">
            <v>3281.4108288184134</v>
          </cell>
          <cell r="X387">
            <v>3379.8531536829655</v>
          </cell>
          <cell r="Y387">
            <v>3481.2487482934544</v>
          </cell>
          <cell r="Z387">
            <v>3585.6862107422585</v>
          </cell>
          <cell r="AA387">
            <v>3693.256797064526</v>
          </cell>
          <cell r="AB387">
            <v>3804.054500976463</v>
          </cell>
          <cell r="AC387">
            <v>3918.176136005757</v>
          </cell>
          <cell r="AD387">
            <v>4035.7214200859294</v>
          </cell>
          <cell r="AE387">
            <v>4156.793062688507</v>
          </cell>
          <cell r="AF387">
            <v>4281.496854569162</v>
          </cell>
          <cell r="AG387">
            <v>4409.941760206237</v>
          </cell>
          <cell r="AH387">
            <v>4542.240013012424</v>
          </cell>
          <cell r="AI387">
            <v>4678.507213402798</v>
          </cell>
          <cell r="AJ387">
            <v>4818.862429804882</v>
          </cell>
        </row>
        <row r="388">
          <cell r="A388" t="str">
            <v> - местная валюта</v>
          </cell>
          <cell r="B388" t="str">
            <v> - in local currency</v>
          </cell>
          <cell r="D388" t="str">
            <v>тыс.руб.</v>
          </cell>
          <cell r="E388" t="str">
            <v>on_end</v>
          </cell>
          <cell r="F388">
            <v>0</v>
          </cell>
          <cell r="G388">
            <v>1396.4205254999997</v>
          </cell>
          <cell r="H388">
            <v>2182.7135609</v>
          </cell>
          <cell r="I388">
            <v>2354.2522377</v>
          </cell>
          <cell r="J388">
            <v>2477.8277377</v>
          </cell>
          <cell r="K388">
            <v>2566.5932377</v>
          </cell>
          <cell r="L388">
            <v>2569.56603766</v>
          </cell>
          <cell r="M388">
            <v>2640.68286766</v>
          </cell>
          <cell r="N388">
            <v>2713.9332025599997</v>
          </cell>
          <cell r="O388">
            <v>2789.3810475070004</v>
          </cell>
          <cell r="P388">
            <v>2867.092327802411</v>
          </cell>
          <cell r="Q388">
            <v>2980.745760886682</v>
          </cell>
          <cell r="R388">
            <v>3063.189658152083</v>
          </cell>
          <cell r="S388">
            <v>3148.1068723354456</v>
          </cell>
          <cell r="T388">
            <v>3235.5716029443092</v>
          </cell>
          <cell r="U388">
            <v>3093.0444234314386</v>
          </cell>
          <cell r="V388">
            <v>3185.835756134382</v>
          </cell>
          <cell r="W388">
            <v>3281.4108288184134</v>
          </cell>
          <cell r="X388">
            <v>3379.8531536829655</v>
          </cell>
          <cell r="Y388">
            <v>3481.2487482934544</v>
          </cell>
          <cell r="Z388">
            <v>3585.6862107422585</v>
          </cell>
          <cell r="AA388">
            <v>3693.256797064526</v>
          </cell>
          <cell r="AB388">
            <v>3804.054500976463</v>
          </cell>
          <cell r="AC388">
            <v>3918.176136005757</v>
          </cell>
          <cell r="AD388">
            <v>4035.7214200859294</v>
          </cell>
          <cell r="AE388">
            <v>4156.793062688507</v>
          </cell>
          <cell r="AF388">
            <v>4281.496854569162</v>
          </cell>
          <cell r="AG388">
            <v>4409.941760206237</v>
          </cell>
          <cell r="AH388">
            <v>4542.240013012424</v>
          </cell>
          <cell r="AI388">
            <v>4678.507213402798</v>
          </cell>
          <cell r="AJ388">
            <v>4818.862429804882</v>
          </cell>
        </row>
        <row r="389">
          <cell r="A389" t="str">
            <v> - иностранная валюта</v>
          </cell>
          <cell r="B389" t="str">
            <v> - in foreign currency</v>
          </cell>
          <cell r="D389" t="str">
            <v>тыс.долл.</v>
          </cell>
          <cell r="E389" t="str">
            <v>on_end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</row>
        <row r="391">
          <cell r="A391" t="str">
            <v>7. НДС УПЛАЧЕННЫЙ</v>
          </cell>
          <cell r="B391" t="str">
            <v>7. VAT PAID</v>
          </cell>
        </row>
        <row r="392">
          <cell r="A392" t="str">
            <v>Сумма</v>
          </cell>
          <cell r="B392" t="str">
            <v>Sum</v>
          </cell>
          <cell r="D392" t="str">
            <v>тыс.руб.</v>
          </cell>
          <cell r="E392" t="str">
            <v>on_end</v>
          </cell>
          <cell r="F392">
            <v>0</v>
          </cell>
          <cell r="G392">
            <v>21347.982</v>
          </cell>
          <cell r="H392">
            <v>27671.0122485</v>
          </cell>
          <cell r="I392">
            <v>35688.4915392</v>
          </cell>
          <cell r="J392">
            <v>44600.286329099996</v>
          </cell>
          <cell r="K392">
            <v>54341.20120140001</v>
          </cell>
          <cell r="L392">
            <v>64914.4221561</v>
          </cell>
          <cell r="M392">
            <v>75492.34810668002</v>
          </cell>
          <cell r="N392">
            <v>86092.23697398002</v>
          </cell>
          <cell r="O392">
            <v>96718.111318764</v>
          </cell>
          <cell r="P392">
            <v>107374.1143786189</v>
          </cell>
          <cell r="Q392">
            <v>118064.51368825928</v>
          </cell>
          <cell r="R392">
            <v>129065.76564518105</v>
          </cell>
          <cell r="S392">
            <v>140377.27060358282</v>
          </cell>
          <cell r="T392">
            <v>152003.6918138707</v>
          </cell>
          <cell r="U392">
            <v>163949.83242396286</v>
          </cell>
          <cell r="V392">
            <v>176030.3445808949</v>
          </cell>
          <cell r="W392">
            <v>188285.8077183333</v>
          </cell>
          <cell r="X392">
            <v>200721.4703656933</v>
          </cell>
          <cell r="Y392">
            <v>213342.73850827248</v>
          </cell>
          <cell r="Z392">
            <v>226155.18031092748</v>
          </cell>
          <cell r="AA392">
            <v>239164.5309834605</v>
          </cell>
          <cell r="AB392">
            <v>252376.69779196792</v>
          </cell>
          <cell r="AC392">
            <v>265797.765220529</v>
          </cell>
          <cell r="AD392">
            <v>279434.0002877452</v>
          </cell>
          <cell r="AE392">
            <v>293291.8580227764</v>
          </cell>
          <cell r="AF392">
            <v>307377.98710565694</v>
          </cell>
          <cell r="AG392">
            <v>321699.2356768222</v>
          </cell>
          <cell r="AH392">
            <v>336262.6573209209</v>
          </cell>
          <cell r="AI392">
            <v>351075.5172301409</v>
          </cell>
          <cell r="AJ392">
            <v>366145.2985524359</v>
          </cell>
        </row>
        <row r="394">
          <cell r="A394" t="str">
            <v> = Нормируемые оборотные активы</v>
          </cell>
          <cell r="B394" t="str">
            <v> = Current assets requirement</v>
          </cell>
          <cell r="D394" t="str">
            <v>тыс.руб.</v>
          </cell>
          <cell r="E394" t="str">
            <v>on_end</v>
          </cell>
          <cell r="F394">
            <v>0</v>
          </cell>
          <cell r="G394">
            <v>22744.4025255</v>
          </cell>
          <cell r="H394">
            <v>45088.66737219697</v>
          </cell>
          <cell r="I394">
            <v>55812.551932493945</v>
          </cell>
          <cell r="J394">
            <v>67914.4478542406</v>
          </cell>
          <cell r="K394">
            <v>80810.65385838726</v>
          </cell>
          <cell r="L394">
            <v>94453.37324489391</v>
          </cell>
          <cell r="M394">
            <v>107498.417833921</v>
          </cell>
          <cell r="N394">
            <v>120567.55884456809</v>
          </cell>
          <cell r="O394">
            <v>133664.88284274616</v>
          </cell>
          <cell r="P394">
            <v>146794.59899134358</v>
          </cell>
          <cell r="Q394">
            <v>159994.6535425153</v>
          </cell>
          <cell r="R394">
            <v>173746.67472584714</v>
          </cell>
          <cell r="S394">
            <v>187811.42222757702</v>
          </cell>
          <cell r="T394">
            <v>202193.6334976185</v>
          </cell>
          <cell r="U394">
            <v>216665.57225734246</v>
          </cell>
          <cell r="V394">
            <v>228838.87574697743</v>
          </cell>
          <cell r="W394">
            <v>241189.91395709987</v>
          </cell>
          <cell r="X394">
            <v>253724.01892932443</v>
          </cell>
          <cell r="Y394">
            <v>266446.68266651407</v>
          </cell>
          <cell r="Z394">
            <v>279363.5619316179</v>
          </cell>
          <cell r="AA394">
            <v>292480.48319047317</v>
          </cell>
          <cell r="AB394">
            <v>305803.44770289253</v>
          </cell>
          <cell r="AC394">
            <v>319338.6367664829</v>
          </cell>
          <cell r="AD394">
            <v>333092.4171177793</v>
          </cell>
          <cell r="AE394">
            <v>347071.34649541305</v>
          </cell>
          <cell r="AF394">
            <v>361282.17937017424</v>
          </cell>
          <cell r="AG394">
            <v>375731.8728469766</v>
          </cell>
          <cell r="AH394">
            <v>390427.5927438815</v>
          </cell>
          <cell r="AI394">
            <v>405376.7198534919</v>
          </cell>
          <cell r="AJ394">
            <v>420586.8563921889</v>
          </cell>
        </row>
        <row r="395">
          <cell r="A395" t="str">
            <v> - местная валюта</v>
          </cell>
          <cell r="B395" t="str">
            <v> - in local currency</v>
          </cell>
          <cell r="D395" t="str">
            <v>тыс.руб.</v>
          </cell>
          <cell r="E395" t="str">
            <v>on_end</v>
          </cell>
          <cell r="F395">
            <v>0</v>
          </cell>
          <cell r="G395">
            <v>22744.4025255</v>
          </cell>
          <cell r="H395">
            <v>45088.66737219697</v>
          </cell>
          <cell r="I395">
            <v>55812.551932493945</v>
          </cell>
          <cell r="J395">
            <v>67914.4478542406</v>
          </cell>
          <cell r="K395">
            <v>80810.65385838726</v>
          </cell>
          <cell r="L395">
            <v>94453.37324489391</v>
          </cell>
          <cell r="M395">
            <v>107498.417833921</v>
          </cell>
          <cell r="N395">
            <v>120567.55884456809</v>
          </cell>
          <cell r="O395">
            <v>133664.88284274616</v>
          </cell>
          <cell r="P395">
            <v>146794.59899134358</v>
          </cell>
          <cell r="Q395">
            <v>159994.6535425153</v>
          </cell>
          <cell r="R395">
            <v>173746.67472584714</v>
          </cell>
          <cell r="S395">
            <v>187811.42222757702</v>
          </cell>
          <cell r="T395">
            <v>202193.6334976185</v>
          </cell>
          <cell r="U395">
            <v>216665.57225734246</v>
          </cell>
          <cell r="V395">
            <v>228838.87574697743</v>
          </cell>
          <cell r="W395">
            <v>241189.91395709987</v>
          </cell>
          <cell r="X395">
            <v>253724.01892932443</v>
          </cell>
          <cell r="Y395">
            <v>266446.68266651407</v>
          </cell>
          <cell r="Z395">
            <v>279363.5619316179</v>
          </cell>
          <cell r="AA395">
            <v>292480.48319047317</v>
          </cell>
          <cell r="AB395">
            <v>305803.44770289253</v>
          </cell>
          <cell r="AC395">
            <v>319338.6367664829</v>
          </cell>
          <cell r="AD395">
            <v>333092.4171177793</v>
          </cell>
          <cell r="AE395">
            <v>347071.34649541305</v>
          </cell>
          <cell r="AF395">
            <v>361282.17937017424</v>
          </cell>
          <cell r="AG395">
            <v>375731.8728469766</v>
          </cell>
          <cell r="AH395">
            <v>390427.5927438815</v>
          </cell>
          <cell r="AI395">
            <v>405376.7198534919</v>
          </cell>
          <cell r="AJ395">
            <v>420586.8563921889</v>
          </cell>
        </row>
        <row r="396">
          <cell r="A396" t="str">
            <v> - иностранная валюта</v>
          </cell>
          <cell r="B396" t="str">
            <v> - in foreign currency</v>
          </cell>
          <cell r="D396" t="str">
            <v>тыс.долл.</v>
          </cell>
          <cell r="E396" t="str">
            <v>on_end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</row>
        <row r="397">
          <cell r="A397" t="str">
            <v> = Прирост нормируемых оборотных активов</v>
          </cell>
          <cell r="B397" t="str">
            <v> = Increase in current assets requirement</v>
          </cell>
          <cell r="D397" t="str">
            <v>тыс.руб.</v>
          </cell>
          <cell r="F397">
            <v>0</v>
          </cell>
          <cell r="G397">
            <v>22744.4025255</v>
          </cell>
          <cell r="H397">
            <v>22344.26484669697</v>
          </cell>
          <cell r="I397">
            <v>10723.884560296974</v>
          </cell>
          <cell r="J397">
            <v>12101.895921746654</v>
          </cell>
          <cell r="K397">
            <v>12896.206004146661</v>
          </cell>
          <cell r="L397">
            <v>13642.719386506651</v>
          </cell>
          <cell r="M397">
            <v>13045.044589027093</v>
          </cell>
          <cell r="N397">
            <v>13069.141010647087</v>
          </cell>
          <cell r="O397">
            <v>13097.323998178064</v>
          </cell>
          <cell r="P397">
            <v>13129.716148597421</v>
          </cell>
          <cell r="Q397">
            <v>13200.054551171721</v>
          </cell>
          <cell r="R397">
            <v>13752.021183331846</v>
          </cell>
          <cell r="S397">
            <v>14064.747501729871</v>
          </cell>
          <cell r="T397">
            <v>14382.211270041473</v>
          </cell>
          <cell r="U397">
            <v>14471.93875972397</v>
          </cell>
          <cell r="V397">
            <v>12173.30348963497</v>
          </cell>
          <cell r="W397">
            <v>12351.038210122439</v>
          </cell>
          <cell r="X397">
            <v>12534.104972224566</v>
          </cell>
          <cell r="Y397">
            <v>12722.663737189636</v>
          </cell>
          <cell r="Z397">
            <v>12916.879265103838</v>
          </cell>
          <cell r="AA397">
            <v>13116.921258855262</v>
          </cell>
          <cell r="AB397">
            <v>13322.964512419363</v>
          </cell>
          <cell r="AC397">
            <v>13535.18906359037</v>
          </cell>
          <cell r="AD397">
            <v>13753.780351296416</v>
          </cell>
          <cell r="AE397">
            <v>13978.929377633729</v>
          </cell>
          <cell r="AF397">
            <v>14210.832874761196</v>
          </cell>
          <cell r="AG397">
            <v>14449.693476802378</v>
          </cell>
          <cell r="AH397">
            <v>14695.719896904891</v>
          </cell>
          <cell r="AI397">
            <v>14949.12710961036</v>
          </cell>
          <cell r="AJ397">
            <v>15210.136538697057</v>
          </cell>
        </row>
        <row r="398">
          <cell r="A398" t="str">
            <v> - местная валюта</v>
          </cell>
          <cell r="B398" t="str">
            <v> - in local currency</v>
          </cell>
          <cell r="D398" t="str">
            <v>тыс.руб.</v>
          </cell>
          <cell r="F398">
            <v>0</v>
          </cell>
          <cell r="G398">
            <v>22744.4025255</v>
          </cell>
          <cell r="H398">
            <v>22344.26484669697</v>
          </cell>
          <cell r="I398">
            <v>10723.884560296974</v>
          </cell>
          <cell r="J398">
            <v>12101.895921746654</v>
          </cell>
          <cell r="K398">
            <v>12896.206004146661</v>
          </cell>
          <cell r="L398">
            <v>13642.719386506651</v>
          </cell>
          <cell r="M398">
            <v>13045.044589027093</v>
          </cell>
          <cell r="N398">
            <v>13069.141010647087</v>
          </cell>
          <cell r="O398">
            <v>13097.323998178064</v>
          </cell>
          <cell r="P398">
            <v>13129.716148597421</v>
          </cell>
          <cell r="Q398">
            <v>13200.054551171721</v>
          </cell>
          <cell r="R398">
            <v>13752.021183331846</v>
          </cell>
          <cell r="S398">
            <v>14064.747501729871</v>
          </cell>
          <cell r="T398">
            <v>14382.211270041473</v>
          </cell>
          <cell r="U398">
            <v>14471.93875972397</v>
          </cell>
          <cell r="V398">
            <v>12173.30348963497</v>
          </cell>
          <cell r="W398">
            <v>12351.038210122439</v>
          </cell>
          <cell r="X398">
            <v>12534.104972224566</v>
          </cell>
          <cell r="Y398">
            <v>12722.663737189636</v>
          </cell>
          <cell r="Z398">
            <v>12916.879265103838</v>
          </cell>
          <cell r="AA398">
            <v>13116.921258855262</v>
          </cell>
          <cell r="AB398">
            <v>13322.964512419363</v>
          </cell>
          <cell r="AC398">
            <v>13535.18906359037</v>
          </cell>
          <cell r="AD398">
            <v>13753.780351296416</v>
          </cell>
          <cell r="AE398">
            <v>13978.929377633729</v>
          </cell>
          <cell r="AF398">
            <v>14210.832874761196</v>
          </cell>
          <cell r="AG398">
            <v>14449.693476802378</v>
          </cell>
          <cell r="AH398">
            <v>14695.719896904891</v>
          </cell>
          <cell r="AI398">
            <v>14949.12710961036</v>
          </cell>
          <cell r="AJ398">
            <v>15210.136538697057</v>
          </cell>
          <cell r="AL398">
            <v>420586.8563921889</v>
          </cell>
        </row>
        <row r="399">
          <cell r="A399" t="str">
            <v> - иностранная валюта</v>
          </cell>
          <cell r="B399" t="str">
            <v> - in foreign currency</v>
          </cell>
          <cell r="D399" t="str">
            <v>тыс.долл.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3">
          <cell r="A403" t="str">
            <v>Цт=максимальные Постоянные цены</v>
          </cell>
          <cell r="B403" t="str">
            <v>Цт=максимальные Постоянные цены</v>
          </cell>
          <cell r="AK403" t="str">
            <v>АЛЬТ-Инвест™ 3.0</v>
          </cell>
        </row>
        <row r="404">
          <cell r="A404" t="str">
            <v>НОРМИРУЕМЫЕ КРАТКОСРОЧНЫЕ ПАССИВЫ</v>
          </cell>
          <cell r="B404" t="str">
            <v>CURRENT LIABILITIES AVAILABLE</v>
          </cell>
          <cell r="F404" t="str">
            <v>"0"</v>
          </cell>
          <cell r="G404" t="str">
            <v>1 год</v>
          </cell>
          <cell r="H404" t="str">
            <v>2 год</v>
          </cell>
          <cell r="I404" t="str">
            <v>3 год</v>
          </cell>
          <cell r="J404" t="str">
            <v>4 год</v>
          </cell>
          <cell r="K404" t="str">
            <v>5 год</v>
          </cell>
          <cell r="L404" t="str">
            <v>6 год</v>
          </cell>
          <cell r="M404" t="str">
            <v>7 год</v>
          </cell>
          <cell r="N404" t="str">
            <v>8 год</v>
          </cell>
          <cell r="O404" t="str">
            <v>9 год</v>
          </cell>
          <cell r="P404" t="str">
            <v>10 год</v>
          </cell>
          <cell r="Q404" t="str">
            <v>11 год</v>
          </cell>
          <cell r="R404" t="str">
            <v>12 год</v>
          </cell>
          <cell r="S404" t="str">
            <v>13 год</v>
          </cell>
          <cell r="T404" t="str">
            <v>14 год</v>
          </cell>
          <cell r="U404" t="str">
            <v>15 год</v>
          </cell>
          <cell r="V404" t="str">
            <v>16 год</v>
          </cell>
          <cell r="W404" t="str">
            <v>17 год</v>
          </cell>
          <cell r="X404" t="str">
            <v>18 год</v>
          </cell>
          <cell r="Y404" t="str">
            <v>19 год</v>
          </cell>
          <cell r="Z404" t="str">
            <v>20 год</v>
          </cell>
          <cell r="AA404" t="str">
            <v>21 год</v>
          </cell>
          <cell r="AB404" t="str">
            <v>22 год</v>
          </cell>
          <cell r="AC404" t="str">
            <v>23 год</v>
          </cell>
          <cell r="AD404" t="str">
            <v>24 год</v>
          </cell>
          <cell r="AE404" t="str">
            <v>25 год</v>
          </cell>
          <cell r="AF404" t="str">
            <v>26 год</v>
          </cell>
          <cell r="AG404" t="str">
            <v>27 год</v>
          </cell>
          <cell r="AH404" t="str">
            <v>28 год</v>
          </cell>
          <cell r="AI404" t="str">
            <v>29 год</v>
          </cell>
          <cell r="AJ404" t="str">
            <v>30 год</v>
          </cell>
        </row>
        <row r="406">
          <cell r="A406" t="str">
            <v>1. КРЕДИТЫ ПОСТАВЩИКОВ (СЧЕТА К ОПЛАТЕ)</v>
          </cell>
          <cell r="B406" t="str">
            <v>1. CREDITS OF SUPPLIERS (PAYABLES)</v>
          </cell>
        </row>
        <row r="407">
          <cell r="A407" t="str">
            <v>Доля кредитов в прямых материальных затратах</v>
          </cell>
          <cell r="B407" t="str">
            <v>Per cent of direct material costs to advances</v>
          </cell>
          <cell r="D407" t="str">
            <v>%</v>
          </cell>
          <cell r="F407">
            <v>0</v>
          </cell>
          <cell r="G407" t="str">
            <v/>
          </cell>
        </row>
        <row r="408">
          <cell r="A408" t="str">
            <v>Отсрочка платежа</v>
          </cell>
          <cell r="B408" t="str">
            <v>Delay term</v>
          </cell>
          <cell r="D408" t="str">
            <v>дни</v>
          </cell>
          <cell r="F408">
            <v>30</v>
          </cell>
        </row>
        <row r="409">
          <cell r="A409" t="str">
            <v>Сумма счетов к оплате</v>
          </cell>
          <cell r="B409" t="str">
            <v>Sum of accounts payable</v>
          </cell>
          <cell r="D409" t="str">
            <v>тыс.руб.</v>
          </cell>
          <cell r="E409" t="str">
            <v>on_end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A410" t="str">
            <v> - в местной валюте</v>
          </cell>
          <cell r="B410" t="str">
            <v> - in local currency</v>
          </cell>
          <cell r="D410" t="str">
            <v>тыс.руб.</v>
          </cell>
          <cell r="E410" t="str">
            <v>on_end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A411" t="str">
            <v> - в иностранной валюте</v>
          </cell>
          <cell r="B411" t="str">
            <v> - in foreign currency</v>
          </cell>
          <cell r="D411" t="str">
            <v>тыс.долл.</v>
          </cell>
          <cell r="E411" t="str">
            <v>on_end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</row>
        <row r="413">
          <cell r="A413" t="str">
            <v>2. АВАНСЫ ПОКУПАТЕЛЕЙ</v>
          </cell>
          <cell r="B413" t="str">
            <v>2. ADVANCE PAYMENTS OF BUYERS</v>
          </cell>
        </row>
        <row r="414">
          <cell r="A414" t="str">
            <v>Доля авансов в выручке</v>
          </cell>
          <cell r="B414" t="str">
            <v>Per cent of sales revenues to advances</v>
          </cell>
          <cell r="D414" t="str">
            <v>%</v>
          </cell>
          <cell r="F414">
            <v>0</v>
          </cell>
          <cell r="G414" t="str">
            <v/>
          </cell>
        </row>
        <row r="415">
          <cell r="A415" t="str">
            <v>Средний срок авансов</v>
          </cell>
          <cell r="B415" t="str">
            <v>Average term of advances </v>
          </cell>
          <cell r="D415" t="str">
            <v>дни</v>
          </cell>
          <cell r="F415">
            <v>30</v>
          </cell>
        </row>
        <row r="416">
          <cell r="A416" t="str">
            <v>Сумма полученных авансов</v>
          </cell>
          <cell r="B416" t="str">
            <v>Sum of advances obtained</v>
          </cell>
          <cell r="D416" t="str">
            <v>тыс.руб.</v>
          </cell>
          <cell r="E416" t="str">
            <v>on_end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A417" t="str">
            <v> - в местной валюте</v>
          </cell>
          <cell r="B417" t="str">
            <v> - in local currency</v>
          </cell>
          <cell r="D417" t="str">
            <v>тыс.руб.</v>
          </cell>
          <cell r="E417" t="str">
            <v>on_end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A418" t="str">
            <v> - в иностранной валюте</v>
          </cell>
          <cell r="B418" t="str">
            <v> - in foreign currency</v>
          </cell>
          <cell r="D418" t="str">
            <v>тыс.долл.</v>
          </cell>
          <cell r="E418" t="str">
            <v>on_end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20">
          <cell r="A420" t="str">
            <v>3. РАСЧЕТЫ С ПЕРСОНАЛОМ</v>
          </cell>
          <cell r="B420" t="str">
            <v>3. DEFERRED WAGES &amp; SALARIES</v>
          </cell>
        </row>
        <row r="421">
          <cell r="A421" t="str">
            <v>Частота выплаты заработной платы</v>
          </cell>
          <cell r="B421" t="str">
            <v>Payments frequency (per month)</v>
          </cell>
          <cell r="D421" t="str">
            <v>раз/мес.</v>
          </cell>
          <cell r="F421">
            <v>2</v>
          </cell>
        </row>
        <row r="422">
          <cell r="A422" t="str">
            <v>Сумма</v>
          </cell>
          <cell r="B422" t="str">
            <v>Sum</v>
          </cell>
          <cell r="D422" t="str">
            <v>тыс.руб.</v>
          </cell>
          <cell r="E422" t="str">
            <v>on_end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4">
          <cell r="A424" t="str">
            <v>4. РАСЧЕТЫ С БЮДЖЕТОМ</v>
          </cell>
          <cell r="B424" t="str">
            <v>4. DEFERRED TAXES &amp; PAYMENTS</v>
          </cell>
        </row>
        <row r="425">
          <cell r="A425" t="str">
            <v>Сумма</v>
          </cell>
          <cell r="B425" t="str">
            <v>Sum</v>
          </cell>
          <cell r="D425" t="str">
            <v>тыс.руб.</v>
          </cell>
          <cell r="E425" t="str">
            <v>on_end</v>
          </cell>
          <cell r="F425">
            <v>0</v>
          </cell>
          <cell r="G425">
            <v>0</v>
          </cell>
          <cell r="H425">
            <v>2054.454306715942</v>
          </cell>
          <cell r="I425">
            <v>2339.724234410041</v>
          </cell>
          <cell r="J425">
            <v>2796.9568566136254</v>
          </cell>
          <cell r="K425">
            <v>3265.3145549043065</v>
          </cell>
          <cell r="L425">
            <v>3733.141253194988</v>
          </cell>
          <cell r="M425">
            <v>4150.5407053842555</v>
          </cell>
          <cell r="N425">
            <v>4566.652260141296</v>
          </cell>
          <cell r="O425">
            <v>4982.093388104335</v>
          </cell>
          <cell r="P425">
            <v>5396.843976469557</v>
          </cell>
          <cell r="Q425">
            <v>5810.883309049017</v>
          </cell>
          <cell r="R425">
            <v>6251.218259182325</v>
          </cell>
          <cell r="S425">
            <v>6691.057345397192</v>
          </cell>
          <cell r="T425">
            <v>7130.119223211056</v>
          </cell>
          <cell r="U425">
            <v>7568.380576371888</v>
          </cell>
          <cell r="V425">
            <v>7534.268692317916</v>
          </cell>
          <cell r="W425">
            <v>7496.7726225968545</v>
          </cell>
          <cell r="X425">
            <v>7458.401797973261</v>
          </cell>
          <cell r="Y425">
            <v>7419.129975800062</v>
          </cell>
          <cell r="Z425">
            <v>7378.930126150765</v>
          </cell>
          <cell r="AA425">
            <v>7337.774408201092</v>
          </cell>
          <cell r="AB425">
            <v>7295.634145902028</v>
          </cell>
          <cell r="AC425">
            <v>7252.479802923089</v>
          </cell>
          <cell r="AD425">
            <v>7208.280956843885</v>
          </cell>
          <cell r="AE425">
            <v>7163.006272571402</v>
          </cell>
          <cell r="AF425">
            <v>7116.623474959846</v>
          </cell>
          <cell r="AG425">
            <v>7069.099320609043</v>
          </cell>
          <cell r="AH425">
            <v>7020.399568816818</v>
          </cell>
          <cell r="AI425">
            <v>7102.632960239923</v>
          </cell>
          <cell r="AJ425">
            <v>7063.258051822424</v>
          </cell>
        </row>
        <row r="426">
          <cell r="A426" t="str">
            <v> - по НДС </v>
          </cell>
          <cell r="B426" t="str">
            <v> - VAT</v>
          </cell>
          <cell r="D426" t="str">
            <v>тыс.руб.</v>
          </cell>
          <cell r="E426" t="str">
            <v>on_end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</row>
        <row r="427">
          <cell r="A427" t="str">
            <v> - по налогу на прибыль</v>
          </cell>
          <cell r="B427" t="str">
            <v> - profit tax</v>
          </cell>
          <cell r="D427" t="str">
            <v>тыс.руб.</v>
          </cell>
          <cell r="E427" t="str">
            <v>on_end</v>
          </cell>
          <cell r="F427">
            <v>0</v>
          </cell>
          <cell r="G427">
            <v>0</v>
          </cell>
          <cell r="H427">
            <v>1639.0096176039683</v>
          </cell>
          <cell r="I427">
            <v>1895.7860183200976</v>
          </cell>
          <cell r="J427">
            <v>2335.809666366528</v>
          </cell>
          <cell r="K427">
            <v>2786.293816701242</v>
          </cell>
          <cell r="L427">
            <v>3236.2469670359574</v>
          </cell>
          <cell r="M427">
            <v>3641.0835996390047</v>
          </cell>
          <cell r="N427">
            <v>4045.4704895890745</v>
          </cell>
          <cell r="O427">
            <v>4449.186952745142</v>
          </cell>
          <cell r="P427">
            <v>4852.212876303393</v>
          </cell>
          <cell r="Q427">
            <v>5254.527544075882</v>
          </cell>
          <cell r="R427">
            <v>5680.9686266536155</v>
          </cell>
          <cell r="S427">
            <v>6106.573440912035</v>
          </cell>
          <cell r="T427">
            <v>6531.4010467694525</v>
          </cell>
          <cell r="U427">
            <v>6955.428127973837</v>
          </cell>
          <cell r="V427">
            <v>6928.951328008435</v>
          </cell>
          <cell r="W427">
            <v>6902.425749037373</v>
          </cell>
          <cell r="X427">
            <v>6875.025415163779</v>
          </cell>
          <cell r="Y427">
            <v>6846.724083740581</v>
          </cell>
          <cell r="Z427">
            <v>6817.494724841284</v>
          </cell>
          <cell r="AA427">
            <v>6787.3094976416105</v>
          </cell>
          <cell r="AB427">
            <v>6756.139726092546</v>
          </cell>
          <cell r="AC427">
            <v>6723.955873863607</v>
          </cell>
          <cell r="AD427">
            <v>6690.727518534403</v>
          </cell>
          <cell r="AE427">
            <v>6656.4233250119205</v>
          </cell>
          <cell r="AF427">
            <v>6621.011018150364</v>
          </cell>
          <cell r="AG427">
            <v>6584.457354549561</v>
          </cell>
          <cell r="AH427">
            <v>6546.728093507336</v>
          </cell>
          <cell r="AI427">
            <v>6634.594980180441</v>
          </cell>
          <cell r="AJ427">
            <v>6595.368321637942</v>
          </cell>
        </row>
        <row r="428">
          <cell r="A428" t="str">
            <v> - по прочим налогам и платежам</v>
          </cell>
          <cell r="B428" t="str">
            <v> - other taxes &amp; payments</v>
          </cell>
          <cell r="D428" t="str">
            <v>тыс.руб.</v>
          </cell>
          <cell r="E428" t="str">
            <v>on_end</v>
          </cell>
          <cell r="F428">
            <v>0</v>
          </cell>
          <cell r="G428">
            <v>0</v>
          </cell>
          <cell r="H428">
            <v>415.4446891119735</v>
          </cell>
          <cell r="I428">
            <v>443.9382160899433</v>
          </cell>
          <cell r="J428">
            <v>461.1471902470977</v>
          </cell>
          <cell r="K428">
            <v>479.02073820306424</v>
          </cell>
          <cell r="L428">
            <v>496.89428615903074</v>
          </cell>
          <cell r="M428">
            <v>509.45710574525106</v>
          </cell>
          <cell r="N428">
            <v>521.1817705522219</v>
          </cell>
          <cell r="O428">
            <v>532.9064353591928</v>
          </cell>
          <cell r="P428">
            <v>544.6311001661637</v>
          </cell>
          <cell r="Q428">
            <v>556.3557649731345</v>
          </cell>
          <cell r="R428">
            <v>570.2496325287094</v>
          </cell>
          <cell r="S428">
            <v>584.4839044851566</v>
          </cell>
          <cell r="T428">
            <v>598.7181764416036</v>
          </cell>
          <cell r="U428">
            <v>612.9524483980508</v>
          </cell>
          <cell r="V428">
            <v>605.3173643094817</v>
          </cell>
          <cell r="W428">
            <v>594.3468735594817</v>
          </cell>
          <cell r="X428">
            <v>583.3763828094817</v>
          </cell>
          <cell r="Y428">
            <v>572.4058920594816</v>
          </cell>
          <cell r="Z428">
            <v>561.4354013094817</v>
          </cell>
          <cell r="AA428">
            <v>550.4649105594817</v>
          </cell>
          <cell r="AB428">
            <v>539.4944198094818</v>
          </cell>
          <cell r="AC428">
            <v>528.5239290594817</v>
          </cell>
          <cell r="AD428">
            <v>517.5534383094817</v>
          </cell>
          <cell r="AE428">
            <v>506.5829475594818</v>
          </cell>
          <cell r="AF428">
            <v>495.6124568094818</v>
          </cell>
          <cell r="AG428">
            <v>484.6419660594818</v>
          </cell>
          <cell r="AH428">
            <v>473.6714753094818</v>
          </cell>
          <cell r="AI428">
            <v>468.0379800594817</v>
          </cell>
          <cell r="AJ428">
            <v>467.8897301844816</v>
          </cell>
        </row>
        <row r="430">
          <cell r="A430" t="str">
            <v> = Нормируемые краткосрочные пассивы</v>
          </cell>
          <cell r="B430" t="str">
            <v> = Current liabilities available</v>
          </cell>
          <cell r="D430" t="str">
            <v>тыс.руб.</v>
          </cell>
          <cell r="E430" t="str">
            <v>on_end</v>
          </cell>
          <cell r="F430">
            <v>0</v>
          </cell>
          <cell r="G430">
            <v>0</v>
          </cell>
          <cell r="H430">
            <v>2054.454306715942</v>
          </cell>
          <cell r="I430">
            <v>2339.724234410041</v>
          </cell>
          <cell r="J430">
            <v>2796.9568566136254</v>
          </cell>
          <cell r="K430">
            <v>3265.3145549043065</v>
          </cell>
          <cell r="L430">
            <v>3733.141253194988</v>
          </cell>
          <cell r="M430">
            <v>4150.5407053842555</v>
          </cell>
          <cell r="N430">
            <v>4566.652260141296</v>
          </cell>
          <cell r="O430">
            <v>4982.093388104335</v>
          </cell>
          <cell r="P430">
            <v>5396.843976469557</v>
          </cell>
          <cell r="Q430">
            <v>5810.883309049017</v>
          </cell>
          <cell r="R430">
            <v>6251.218259182325</v>
          </cell>
          <cell r="S430">
            <v>6691.057345397192</v>
          </cell>
          <cell r="T430">
            <v>7130.119223211056</v>
          </cell>
          <cell r="U430">
            <v>7568.380576371888</v>
          </cell>
          <cell r="V430">
            <v>7534.268692317916</v>
          </cell>
          <cell r="W430">
            <v>7496.7726225968545</v>
          </cell>
          <cell r="X430">
            <v>7458.401797973261</v>
          </cell>
          <cell r="Y430">
            <v>7419.129975800062</v>
          </cell>
          <cell r="Z430">
            <v>7378.930126150765</v>
          </cell>
          <cell r="AA430">
            <v>7337.774408201092</v>
          </cell>
          <cell r="AB430">
            <v>7295.634145902028</v>
          </cell>
          <cell r="AC430">
            <v>7252.479802923089</v>
          </cell>
          <cell r="AD430">
            <v>7208.280956843885</v>
          </cell>
          <cell r="AE430">
            <v>7163.006272571402</v>
          </cell>
          <cell r="AF430">
            <v>7116.623474959846</v>
          </cell>
          <cell r="AG430">
            <v>7069.099320609043</v>
          </cell>
          <cell r="AH430">
            <v>7020.399568816818</v>
          </cell>
          <cell r="AI430">
            <v>7102.632960239923</v>
          </cell>
          <cell r="AJ430">
            <v>7063.258051822424</v>
          </cell>
        </row>
        <row r="431">
          <cell r="A431" t="str">
            <v> - в местной валюте</v>
          </cell>
          <cell r="B431" t="str">
            <v> - in local currency</v>
          </cell>
          <cell r="D431" t="str">
            <v>тыс.руб.</v>
          </cell>
          <cell r="E431" t="str">
            <v>on_end</v>
          </cell>
          <cell r="F431">
            <v>0</v>
          </cell>
          <cell r="G431">
            <v>0</v>
          </cell>
          <cell r="H431">
            <v>2054.454306715942</v>
          </cell>
          <cell r="I431">
            <v>2339.724234410041</v>
          </cell>
          <cell r="J431">
            <v>2796.9568566136254</v>
          </cell>
          <cell r="K431">
            <v>3265.3145549043065</v>
          </cell>
          <cell r="L431">
            <v>3733.141253194988</v>
          </cell>
          <cell r="M431">
            <v>4150.5407053842555</v>
          </cell>
          <cell r="N431">
            <v>4566.652260141296</v>
          </cell>
          <cell r="O431">
            <v>4982.093388104335</v>
          </cell>
          <cell r="P431">
            <v>5396.843976469557</v>
          </cell>
          <cell r="Q431">
            <v>5810.883309049017</v>
          </cell>
          <cell r="R431">
            <v>6251.218259182325</v>
          </cell>
          <cell r="S431">
            <v>6691.057345397192</v>
          </cell>
          <cell r="T431">
            <v>7130.119223211056</v>
          </cell>
          <cell r="U431">
            <v>7568.380576371888</v>
          </cell>
          <cell r="V431">
            <v>7534.268692317916</v>
          </cell>
          <cell r="W431">
            <v>7496.7726225968545</v>
          </cell>
          <cell r="X431">
            <v>7458.401797973261</v>
          </cell>
          <cell r="Y431">
            <v>7419.129975800062</v>
          </cell>
          <cell r="Z431">
            <v>7378.930126150765</v>
          </cell>
          <cell r="AA431">
            <v>7337.774408201092</v>
          </cell>
          <cell r="AB431">
            <v>7295.634145902028</v>
          </cell>
          <cell r="AC431">
            <v>7252.479802923089</v>
          </cell>
          <cell r="AD431">
            <v>7208.280956843885</v>
          </cell>
          <cell r="AE431">
            <v>7163.006272571402</v>
          </cell>
          <cell r="AF431">
            <v>7116.623474959846</v>
          </cell>
          <cell r="AG431">
            <v>7069.099320609043</v>
          </cell>
          <cell r="AH431">
            <v>7020.399568816818</v>
          </cell>
          <cell r="AI431">
            <v>7102.632960239923</v>
          </cell>
          <cell r="AJ431">
            <v>7063.258051822424</v>
          </cell>
        </row>
        <row r="432">
          <cell r="A432" t="str">
            <v> - в иностранной валюте</v>
          </cell>
          <cell r="B432" t="str">
            <v> - in foreign currency</v>
          </cell>
          <cell r="D432" t="str">
            <v>тыс.долл.</v>
          </cell>
          <cell r="E432" t="str">
            <v>on_end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</row>
        <row r="433">
          <cell r="A433" t="str">
            <v> = Прирост нормируемых краткосрочных пассивов</v>
          </cell>
          <cell r="B433" t="str">
            <v> = Increase in current liabilities available</v>
          </cell>
          <cell r="D433" t="str">
            <v>тыс.руб.</v>
          </cell>
          <cell r="F433">
            <v>0</v>
          </cell>
          <cell r="G433">
            <v>0</v>
          </cell>
          <cell r="H433">
            <v>2054.454306715942</v>
          </cell>
          <cell r="I433">
            <v>285.2699276940989</v>
          </cell>
          <cell r="J433">
            <v>457.23262220358447</v>
          </cell>
          <cell r="K433">
            <v>468.3576982906811</v>
          </cell>
          <cell r="L433">
            <v>467.82669829068163</v>
          </cell>
          <cell r="M433">
            <v>417.3994521892673</v>
          </cell>
          <cell r="N433">
            <v>416.1115547570407</v>
          </cell>
          <cell r="O433">
            <v>415.4411279630385</v>
          </cell>
          <cell r="P433">
            <v>414.75058836522203</v>
          </cell>
          <cell r="Q433">
            <v>414.0393325794603</v>
          </cell>
          <cell r="R433">
            <v>440.33495013330776</v>
          </cell>
          <cell r="S433">
            <v>439.83908621486717</v>
          </cell>
          <cell r="T433">
            <v>439.06187781386416</v>
          </cell>
          <cell r="U433">
            <v>438.2613531608322</v>
          </cell>
          <cell r="V433">
            <v>-34.11188405397206</v>
          </cell>
          <cell r="W433">
            <v>-37.49606972106176</v>
          </cell>
          <cell r="X433">
            <v>-38.37082462359376</v>
          </cell>
          <cell r="Y433">
            <v>-39.271822173198416</v>
          </cell>
          <cell r="Z433">
            <v>-40.19984964929699</v>
          </cell>
          <cell r="AA433">
            <v>-41.15571794967309</v>
          </cell>
          <cell r="AB433">
            <v>-42.14026229906449</v>
          </cell>
          <cell r="AC433">
            <v>-43.154342978938985</v>
          </cell>
          <cell r="AD433">
            <v>-44.19884607920358</v>
          </cell>
          <cell r="AE433">
            <v>-45.27468427248277</v>
          </cell>
          <cell r="AF433">
            <v>-46.38279761155627</v>
          </cell>
          <cell r="AG433">
            <v>-47.524154350802746</v>
          </cell>
          <cell r="AH433">
            <v>-48.69975179222547</v>
          </cell>
          <cell r="AI433">
            <v>82.23339142310488</v>
          </cell>
          <cell r="AJ433">
            <v>-39.37490841749877</v>
          </cell>
        </row>
        <row r="434">
          <cell r="A434" t="str">
            <v> - в местной валюте</v>
          </cell>
          <cell r="B434" t="str">
            <v> - in local currency</v>
          </cell>
          <cell r="D434" t="str">
            <v>тыс.руб.</v>
          </cell>
          <cell r="F434">
            <v>0</v>
          </cell>
          <cell r="G434">
            <v>0</v>
          </cell>
          <cell r="H434">
            <v>2054.454306715942</v>
          </cell>
          <cell r="I434">
            <v>285.2699276940989</v>
          </cell>
          <cell r="J434">
            <v>457.23262220358447</v>
          </cell>
          <cell r="K434">
            <v>468.3576982906811</v>
          </cell>
          <cell r="L434">
            <v>467.82669829068163</v>
          </cell>
          <cell r="M434">
            <v>417.3994521892673</v>
          </cell>
          <cell r="N434">
            <v>416.1115547570407</v>
          </cell>
          <cell r="O434">
            <v>415.4411279630385</v>
          </cell>
          <cell r="P434">
            <v>414.75058836522203</v>
          </cell>
          <cell r="Q434">
            <v>414.0393325794603</v>
          </cell>
          <cell r="R434">
            <v>440.33495013330776</v>
          </cell>
          <cell r="S434">
            <v>439.83908621486717</v>
          </cell>
          <cell r="T434">
            <v>439.06187781386416</v>
          </cell>
          <cell r="U434">
            <v>438.2613531608322</v>
          </cell>
          <cell r="V434">
            <v>-34.11188405397206</v>
          </cell>
          <cell r="W434">
            <v>-37.49606972106176</v>
          </cell>
          <cell r="X434">
            <v>-38.37082462359376</v>
          </cell>
          <cell r="Y434">
            <v>-39.271822173198416</v>
          </cell>
          <cell r="Z434">
            <v>-40.19984964929699</v>
          </cell>
          <cell r="AA434">
            <v>-41.15571794967309</v>
          </cell>
          <cell r="AB434">
            <v>-42.14026229906449</v>
          </cell>
          <cell r="AC434">
            <v>-43.154342978938985</v>
          </cell>
          <cell r="AD434">
            <v>-44.19884607920358</v>
          </cell>
          <cell r="AE434">
            <v>-45.27468427248277</v>
          </cell>
          <cell r="AF434">
            <v>-46.38279761155627</v>
          </cell>
          <cell r="AG434">
            <v>-47.524154350802746</v>
          </cell>
          <cell r="AH434">
            <v>-48.69975179222547</v>
          </cell>
          <cell r="AI434">
            <v>82.23339142310488</v>
          </cell>
          <cell r="AJ434">
            <v>-39.37490841749877</v>
          </cell>
        </row>
        <row r="435">
          <cell r="A435" t="str">
            <v> - в иностранной валюте</v>
          </cell>
          <cell r="B435" t="str">
            <v> - in foreign currency</v>
          </cell>
          <cell r="D435" t="str">
            <v>тыс.долл.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</row>
        <row r="439">
          <cell r="A439" t="str">
            <v>Цт=максимальные Постоянные цены</v>
          </cell>
          <cell r="B439" t="str">
            <v>Цт=максимальные Постоянные цены</v>
          </cell>
          <cell r="AL439" t="str">
            <v>АЛЬТ-Инвест™ 3.0</v>
          </cell>
        </row>
        <row r="440">
          <cell r="A440" t="str">
            <v>ИСТОЧНИКИ ФИНАНСИРОВАНИЯ</v>
          </cell>
          <cell r="B440" t="str">
            <v>SOURCES OF FINANCE</v>
          </cell>
          <cell r="F440" t="str">
            <v>"0"</v>
          </cell>
          <cell r="G440" t="str">
            <v>1 год</v>
          </cell>
          <cell r="H440" t="str">
            <v>2 год</v>
          </cell>
          <cell r="I440" t="str">
            <v>3 год</v>
          </cell>
          <cell r="J440" t="str">
            <v>4 год</v>
          </cell>
          <cell r="K440" t="str">
            <v>5 год</v>
          </cell>
          <cell r="L440" t="str">
            <v>6 год</v>
          </cell>
          <cell r="M440" t="str">
            <v>7 год</v>
          </cell>
          <cell r="N440" t="str">
            <v>8 год</v>
          </cell>
          <cell r="O440" t="str">
            <v>9 год</v>
          </cell>
          <cell r="P440" t="str">
            <v>10 год</v>
          </cell>
          <cell r="Q440" t="str">
            <v>11 год</v>
          </cell>
          <cell r="R440" t="str">
            <v>12 год</v>
          </cell>
          <cell r="S440" t="str">
            <v>13 год</v>
          </cell>
          <cell r="T440" t="str">
            <v>14 год</v>
          </cell>
          <cell r="U440" t="str">
            <v>15 год</v>
          </cell>
          <cell r="V440" t="str">
            <v>16 год</v>
          </cell>
          <cell r="W440" t="str">
            <v>17 год</v>
          </cell>
          <cell r="X440" t="str">
            <v>18 год</v>
          </cell>
          <cell r="Y440" t="str">
            <v>19 год</v>
          </cell>
          <cell r="Z440" t="str">
            <v>20 год</v>
          </cell>
          <cell r="AA440" t="str">
            <v>21 год</v>
          </cell>
          <cell r="AB440" t="str">
            <v>22 год</v>
          </cell>
          <cell r="AC440" t="str">
            <v>23 год</v>
          </cell>
          <cell r="AD440" t="str">
            <v>24 год</v>
          </cell>
          <cell r="AE440" t="str">
            <v>25 год</v>
          </cell>
          <cell r="AF440" t="str">
            <v>26 год</v>
          </cell>
          <cell r="AG440" t="str">
            <v>27 год</v>
          </cell>
          <cell r="AH440" t="str">
            <v>28 год</v>
          </cell>
          <cell r="AI440" t="str">
            <v>29 год</v>
          </cell>
          <cell r="AJ440" t="str">
            <v>30 год</v>
          </cell>
          <cell r="AL440" t="str">
            <v>ВСЕГО</v>
          </cell>
        </row>
        <row r="442">
          <cell r="A442" t="str">
            <v>Потребность в финансировании постоянных активов</v>
          </cell>
          <cell r="B442" t="str">
            <v>Need for financing of fixed investment costs</v>
          </cell>
          <cell r="D442" t="str">
            <v>тыс.руб.</v>
          </cell>
          <cell r="F442">
            <v>0</v>
          </cell>
          <cell r="G442">
            <v>118599.9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L442">
            <v>118599.9</v>
          </cell>
        </row>
        <row r="443">
          <cell r="A443" t="str">
            <v> - местная валюта</v>
          </cell>
          <cell r="B443" t="str">
            <v> - in local currency</v>
          </cell>
          <cell r="D443" t="str">
            <v>тыс.руб.</v>
          </cell>
          <cell r="F443">
            <v>0</v>
          </cell>
          <cell r="G443">
            <v>118599.9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L443">
            <v>118599.9</v>
          </cell>
        </row>
        <row r="444">
          <cell r="A444" t="str">
            <v> - иностранная валюта</v>
          </cell>
          <cell r="B444" t="str">
            <v> - in foreign currency</v>
          </cell>
          <cell r="D444" t="str">
            <v>тыс.долл.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L444">
            <v>0</v>
          </cell>
        </row>
        <row r="446">
          <cell r="A446" t="str">
            <v>Потребность в финансировании чистого оборотного капитала</v>
          </cell>
          <cell r="B446" t="str">
            <v>Need for financing of net working capital</v>
          </cell>
          <cell r="D446" t="str">
            <v>тыс.руб.</v>
          </cell>
          <cell r="F446">
            <v>0</v>
          </cell>
          <cell r="G446">
            <v>22744.4025255</v>
          </cell>
          <cell r="H446">
            <v>20289.810539981027</v>
          </cell>
          <cell r="I446">
            <v>10438.614632602876</v>
          </cell>
          <cell r="J446">
            <v>11644.66329954307</v>
          </cell>
          <cell r="K446">
            <v>12427.84830585598</v>
          </cell>
          <cell r="L446">
            <v>13174.892688215969</v>
          </cell>
          <cell r="M446">
            <v>12627.645136837826</v>
          </cell>
          <cell r="N446">
            <v>12653.029455890046</v>
          </cell>
          <cell r="O446">
            <v>12681.882870215026</v>
          </cell>
          <cell r="P446">
            <v>12714.965560232198</v>
          </cell>
          <cell r="Q446">
            <v>12786.01521859226</v>
          </cell>
          <cell r="R446">
            <v>13311.68623319854</v>
          </cell>
          <cell r="S446">
            <v>13624.908415515005</v>
          </cell>
          <cell r="T446">
            <v>13943.14939222761</v>
          </cell>
          <cell r="U446">
            <v>14033.677406563136</v>
          </cell>
          <cell r="V446">
            <v>12207.415373688942</v>
          </cell>
          <cell r="W446">
            <v>12388.534279843501</v>
          </cell>
          <cell r="X446">
            <v>12572.47579684816</v>
          </cell>
          <cell r="Y446">
            <v>12761.935559362835</v>
          </cell>
          <cell r="Z446">
            <v>12957.079114753134</v>
          </cell>
          <cell r="AA446">
            <v>13158.076976804936</v>
          </cell>
          <cell r="AB446">
            <v>13365.104774718428</v>
          </cell>
          <cell r="AC446">
            <v>13578.343406569307</v>
          </cell>
          <cell r="AD446">
            <v>13797.97919737562</v>
          </cell>
          <cell r="AE446">
            <v>14024.204061906212</v>
          </cell>
          <cell r="AF446">
            <v>14257.215672372753</v>
          </cell>
          <cell r="AG446">
            <v>14497.21763115318</v>
          </cell>
          <cell r="AH446">
            <v>14744.419648697116</v>
          </cell>
          <cell r="AI446">
            <v>14866.893718187253</v>
          </cell>
          <cell r="AJ446">
            <v>15249.511447114557</v>
          </cell>
          <cell r="AL446">
            <v>413523.59834036644</v>
          </cell>
        </row>
        <row r="447">
          <cell r="A447" t="str">
            <v> - местная валюта</v>
          </cell>
          <cell r="B447" t="str">
            <v> - in local currency</v>
          </cell>
          <cell r="D447" t="str">
            <v>тыс.руб.</v>
          </cell>
          <cell r="F447">
            <v>0</v>
          </cell>
          <cell r="G447">
            <v>22744.4025255</v>
          </cell>
          <cell r="H447">
            <v>20289.810539981027</v>
          </cell>
          <cell r="I447">
            <v>10438.614632602876</v>
          </cell>
          <cell r="J447">
            <v>11644.66329954307</v>
          </cell>
          <cell r="K447">
            <v>12427.84830585598</v>
          </cell>
          <cell r="L447">
            <v>13174.892688215969</v>
          </cell>
          <cell r="M447">
            <v>12627.645136837826</v>
          </cell>
          <cell r="N447">
            <v>12653.029455890046</v>
          </cell>
          <cell r="O447">
            <v>12681.882870215026</v>
          </cell>
          <cell r="P447">
            <v>12714.965560232198</v>
          </cell>
          <cell r="Q447">
            <v>12786.01521859226</v>
          </cell>
          <cell r="R447">
            <v>13311.68623319854</v>
          </cell>
          <cell r="S447">
            <v>13624.908415515005</v>
          </cell>
          <cell r="T447">
            <v>13943.14939222761</v>
          </cell>
          <cell r="U447">
            <v>14033.677406563136</v>
          </cell>
          <cell r="V447">
            <v>12207.415373688942</v>
          </cell>
          <cell r="W447">
            <v>12388.534279843501</v>
          </cell>
          <cell r="X447">
            <v>12572.47579684816</v>
          </cell>
          <cell r="Y447">
            <v>12761.935559362835</v>
          </cell>
          <cell r="Z447">
            <v>12957.079114753134</v>
          </cell>
          <cell r="AA447">
            <v>13158.076976804936</v>
          </cell>
          <cell r="AB447">
            <v>13365.104774718428</v>
          </cell>
          <cell r="AC447">
            <v>13578.343406569307</v>
          </cell>
          <cell r="AD447">
            <v>13797.97919737562</v>
          </cell>
          <cell r="AE447">
            <v>14024.204061906212</v>
          </cell>
          <cell r="AF447">
            <v>14257.215672372753</v>
          </cell>
          <cell r="AG447">
            <v>14497.21763115318</v>
          </cell>
          <cell r="AH447">
            <v>14744.419648697116</v>
          </cell>
          <cell r="AI447">
            <v>14866.893718187253</v>
          </cell>
          <cell r="AJ447">
            <v>15249.511447114557</v>
          </cell>
          <cell r="AL447">
            <v>413523.59834036644</v>
          </cell>
        </row>
        <row r="448">
          <cell r="A448" t="str">
            <v> - иностранная валюта</v>
          </cell>
          <cell r="B448" t="str">
            <v> - in foreign currency</v>
          </cell>
          <cell r="D448" t="str">
            <v>тыс.долл.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L448">
            <v>0</v>
          </cell>
        </row>
        <row r="450">
          <cell r="A450" t="str">
            <v> = Потребность в финансировании инвестиционных издержек</v>
          </cell>
          <cell r="B450" t="str">
            <v> = Total need for financing of investment costs</v>
          </cell>
          <cell r="D450" t="str">
            <v>тыс.руб.</v>
          </cell>
          <cell r="F450">
            <v>0</v>
          </cell>
          <cell r="G450">
            <v>141344.3025255</v>
          </cell>
          <cell r="H450">
            <v>20289.810539981027</v>
          </cell>
          <cell r="I450">
            <v>10438.614632602876</v>
          </cell>
          <cell r="J450">
            <v>11644.66329954307</v>
          </cell>
          <cell r="K450">
            <v>12427.84830585598</v>
          </cell>
          <cell r="L450">
            <v>13174.892688215969</v>
          </cell>
          <cell r="M450">
            <v>12627.645136837826</v>
          </cell>
          <cell r="N450">
            <v>12653.029455890046</v>
          </cell>
          <cell r="O450">
            <v>12681.882870215026</v>
          </cell>
          <cell r="P450">
            <v>12714.965560232198</v>
          </cell>
          <cell r="Q450">
            <v>12786.01521859226</v>
          </cell>
          <cell r="R450">
            <v>13311.68623319854</v>
          </cell>
          <cell r="S450">
            <v>13624.908415515005</v>
          </cell>
          <cell r="T450">
            <v>13943.14939222761</v>
          </cell>
          <cell r="U450">
            <v>14033.677406563136</v>
          </cell>
          <cell r="V450">
            <v>12207.415373688942</v>
          </cell>
          <cell r="W450">
            <v>12388.534279843501</v>
          </cell>
          <cell r="X450">
            <v>12572.47579684816</v>
          </cell>
          <cell r="Y450">
            <v>12761.935559362835</v>
          </cell>
          <cell r="Z450">
            <v>12957.079114753134</v>
          </cell>
          <cell r="AA450">
            <v>13158.076976804936</v>
          </cell>
          <cell r="AB450">
            <v>13365.104774718428</v>
          </cell>
          <cell r="AC450">
            <v>13578.343406569307</v>
          </cell>
          <cell r="AD450">
            <v>13797.97919737562</v>
          </cell>
          <cell r="AE450">
            <v>14024.204061906212</v>
          </cell>
          <cell r="AF450">
            <v>14257.215672372753</v>
          </cell>
          <cell r="AG450">
            <v>14497.21763115318</v>
          </cell>
          <cell r="AH450">
            <v>14744.419648697116</v>
          </cell>
          <cell r="AI450">
            <v>14866.893718187253</v>
          </cell>
          <cell r="AJ450">
            <v>15249.511447114557</v>
          </cell>
          <cell r="AL450">
            <v>532123.4983403664</v>
          </cell>
        </row>
        <row r="451">
          <cell r="A451" t="str">
            <v> - местная валюта</v>
          </cell>
          <cell r="B451" t="str">
            <v> - in local currency</v>
          </cell>
          <cell r="D451" t="str">
            <v>тыс.руб.</v>
          </cell>
          <cell r="F451">
            <v>0</v>
          </cell>
          <cell r="G451">
            <v>141344.3025255</v>
          </cell>
          <cell r="H451">
            <v>20289.810539981027</v>
          </cell>
          <cell r="I451">
            <v>10438.614632602876</v>
          </cell>
          <cell r="J451">
            <v>11644.66329954307</v>
          </cell>
          <cell r="K451">
            <v>12427.84830585598</v>
          </cell>
          <cell r="L451">
            <v>13174.892688215969</v>
          </cell>
          <cell r="M451">
            <v>12627.645136837826</v>
          </cell>
          <cell r="N451">
            <v>12653.029455890046</v>
          </cell>
          <cell r="O451">
            <v>12681.882870215026</v>
          </cell>
          <cell r="P451">
            <v>12714.965560232198</v>
          </cell>
          <cell r="Q451">
            <v>12786.01521859226</v>
          </cell>
          <cell r="R451">
            <v>13311.68623319854</v>
          </cell>
          <cell r="S451">
            <v>13624.908415515005</v>
          </cell>
          <cell r="T451">
            <v>13943.14939222761</v>
          </cell>
          <cell r="U451">
            <v>14033.677406563136</v>
          </cell>
          <cell r="V451">
            <v>12207.415373688942</v>
          </cell>
          <cell r="W451">
            <v>12388.534279843501</v>
          </cell>
          <cell r="X451">
            <v>12572.47579684816</v>
          </cell>
          <cell r="Y451">
            <v>12761.935559362835</v>
          </cell>
          <cell r="Z451">
            <v>12957.079114753134</v>
          </cell>
          <cell r="AA451">
            <v>13158.076976804936</v>
          </cell>
          <cell r="AB451">
            <v>13365.104774718428</v>
          </cell>
          <cell r="AC451">
            <v>13578.343406569307</v>
          </cell>
          <cell r="AD451">
            <v>13797.97919737562</v>
          </cell>
          <cell r="AE451">
            <v>14024.204061906212</v>
          </cell>
          <cell r="AF451">
            <v>14257.215672372753</v>
          </cell>
          <cell r="AG451">
            <v>14497.21763115318</v>
          </cell>
          <cell r="AH451">
            <v>14744.419648697116</v>
          </cell>
          <cell r="AI451">
            <v>14866.893718187253</v>
          </cell>
          <cell r="AJ451">
            <v>15249.511447114557</v>
          </cell>
          <cell r="AL451">
            <v>532123.4983403664</v>
          </cell>
        </row>
        <row r="452">
          <cell r="A452" t="str">
            <v> - иностранная валюта</v>
          </cell>
          <cell r="B452" t="str">
            <v> - in foreign currency</v>
          </cell>
          <cell r="D452" t="str">
            <v>тыс.долл.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L452">
            <v>0</v>
          </cell>
        </row>
        <row r="454">
          <cell r="A454" t="str">
            <v>1. УСТАВНЫЙ КАПИТАЛ</v>
          </cell>
          <cell r="B454" t="str">
            <v>1. STATUTORY EQUITY</v>
          </cell>
        </row>
        <row r="455">
          <cell r="A455" t="str">
            <v>Учредительный капитал (изменение)</v>
          </cell>
          <cell r="B455" t="str">
            <v>Constitutive equity (change only)</v>
          </cell>
          <cell r="D455" t="str">
            <v>тыс.руб.</v>
          </cell>
          <cell r="F455">
            <v>539186.756392189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L455">
            <v>539186.756392189</v>
          </cell>
        </row>
        <row r="456">
          <cell r="A456" t="str">
            <v> - взносы в местной валюте</v>
          </cell>
          <cell r="B456" t="str">
            <v> - instalments in local currency</v>
          </cell>
          <cell r="D456" t="str">
            <v>тыс.руб.</v>
          </cell>
          <cell r="F456">
            <v>539186.756392189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L456">
            <v>539186.756392189</v>
          </cell>
        </row>
        <row r="457">
          <cell r="A457" t="str">
            <v> - взносы в иностранной валюте</v>
          </cell>
          <cell r="B457" t="str">
            <v> - instalments in foreign currency</v>
          </cell>
          <cell r="D457" t="str">
            <v>тыс.долл.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L457">
            <v>0</v>
          </cell>
        </row>
        <row r="459">
          <cell r="A459" t="str">
            <v>Акционерный капитал (изменение)</v>
          </cell>
          <cell r="B459" t="str">
            <v>Paid-up share (stock) equity (change only)</v>
          </cell>
          <cell r="D459" t="str">
            <v>тыс.руб.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L459">
            <v>0</v>
          </cell>
        </row>
        <row r="460">
          <cell r="A460" t="str">
            <v> - простые акции</v>
          </cell>
          <cell r="B460" t="str">
            <v> - ordinary shares</v>
          </cell>
          <cell r="D460" t="str">
            <v>тыс.руб.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L460">
            <v>0</v>
          </cell>
        </row>
        <row r="461">
          <cell r="A461" t="str">
            <v> - привилегированные акции</v>
          </cell>
          <cell r="B461" t="str">
            <v> - preference shares</v>
          </cell>
          <cell r="D461" t="str">
            <v>тыс.руб.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L461">
            <v>0</v>
          </cell>
        </row>
        <row r="463">
          <cell r="A463" t="str">
            <v>2. ЦЕЛЕВЫЕ ФИНАНСИРОВАНИЕ И ПОСТУПЛЕНИЯ</v>
          </cell>
          <cell r="B463" t="str">
            <v>2.TARGET FINANCING (FINANCING FROM PUBLIC FINANCE)</v>
          </cell>
        </row>
        <row r="464">
          <cell r="A464" t="str">
            <v>Объем финансирования (изменение)</v>
          </cell>
          <cell r="B464" t="str">
            <v>Volume of financing</v>
          </cell>
          <cell r="D464" t="str">
            <v>тыс.руб.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L464">
            <v>0</v>
          </cell>
        </row>
        <row r="465">
          <cell r="A465" t="str">
            <v> - в местной валюте</v>
          </cell>
          <cell r="B465" t="str">
            <v> - in local currency</v>
          </cell>
          <cell r="D465" t="str">
            <v>тыс.руб.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L465">
            <v>0</v>
          </cell>
        </row>
        <row r="466">
          <cell r="A466" t="str">
            <v> - в иностранной валюте</v>
          </cell>
          <cell r="B466" t="str">
            <v> - in foreign currency</v>
          </cell>
          <cell r="D466" t="str">
            <v>тыс.долл.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L466">
            <v>0</v>
          </cell>
        </row>
        <row r="468">
          <cell r="A468" t="str">
            <v>3. ЗАЁМНЫЙ КАПИТАЛ</v>
          </cell>
          <cell r="B468" t="str">
            <v>3. LOANS</v>
          </cell>
        </row>
        <row r="469">
          <cell r="A469" t="str">
            <v>Привлечение кредитов</v>
          </cell>
          <cell r="B469" t="str">
            <v>Loans obtained</v>
          </cell>
          <cell r="D469" t="str">
            <v>тыс.руб.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L469">
            <v>0</v>
          </cell>
        </row>
        <row r="470">
          <cell r="A470" t="str">
            <v> - в местной валюте</v>
          </cell>
          <cell r="B470" t="str">
            <v> - in local currency</v>
          </cell>
          <cell r="D470" t="str">
            <v>тыс.руб.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L470">
            <v>0</v>
          </cell>
        </row>
        <row r="471">
          <cell r="A471" t="str">
            <v> - в иностранной валюте</v>
          </cell>
          <cell r="B471" t="str">
            <v> - in foreign currency</v>
          </cell>
          <cell r="D471" t="str">
            <v>тыс.долл.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L471">
            <v>0</v>
          </cell>
        </row>
        <row r="473">
          <cell r="A473" t="str">
            <v> = Итого источники финансирования</v>
          </cell>
          <cell r="B473" t="str">
            <v> = Sources of finance</v>
          </cell>
          <cell r="D473" t="str">
            <v>тыс.руб.</v>
          </cell>
          <cell r="F473">
            <v>539186.756392189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L473">
            <v>539186.756392189</v>
          </cell>
        </row>
        <row r="474">
          <cell r="A474" t="str">
            <v> - в местной валюте</v>
          </cell>
          <cell r="B474" t="str">
            <v> - in local currency</v>
          </cell>
          <cell r="D474" t="str">
            <v>тыс.руб.</v>
          </cell>
          <cell r="F474">
            <v>539186.756392189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L474">
            <v>539186.756392189</v>
          </cell>
        </row>
        <row r="475">
          <cell r="A475" t="str">
            <v> - в иностранной валюте</v>
          </cell>
          <cell r="B475" t="str">
            <v> - in foreign currency</v>
          </cell>
          <cell r="D475" t="str">
            <v>тыс.долл.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L475">
            <v>0</v>
          </cell>
        </row>
        <row r="477">
          <cell r="A477" t="str">
            <v> = Свободные денежные средства</v>
          </cell>
          <cell r="B477" t="str">
            <v>Accumulated cash balance</v>
          </cell>
          <cell r="D477" t="str">
            <v>тыс.руб.</v>
          </cell>
          <cell r="E477" t="str">
            <v>on_end</v>
          </cell>
          <cell r="F477">
            <v>539186.756392189</v>
          </cell>
          <cell r="G477">
            <v>397842.45386668894</v>
          </cell>
          <cell r="H477">
            <v>423462.4166060084</v>
          </cell>
          <cell r="I477">
            <v>465438.57740418136</v>
          </cell>
          <cell r="J477">
            <v>517355.9552859237</v>
          </cell>
          <cell r="K477">
            <v>579902.4133031658</v>
          </cell>
          <cell r="L477">
            <v>653100.6400798608</v>
          </cell>
          <cell r="M477">
            <v>737101.975767211</v>
          </cell>
          <cell r="N477">
            <v>831322.3950142442</v>
          </cell>
          <cell r="O477">
            <v>935741.4445802395</v>
          </cell>
          <cell r="P477">
            <v>1050337.4015196932</v>
          </cell>
          <cell r="Q477">
            <v>1175054.2803843566</v>
          </cell>
          <cell r="R477">
            <v>1310048.662326383</v>
          </cell>
          <cell r="S477">
            <v>1455511.810713973</v>
          </cell>
          <cell r="T477">
            <v>1611419.017473238</v>
          </cell>
          <cell r="U477">
            <v>1777977.7156086788</v>
          </cell>
          <cell r="V477">
            <v>1945691.9301778702</v>
          </cell>
          <cell r="W477">
            <v>2112553.0445069736</v>
          </cell>
          <cell r="X477">
            <v>2278536.075527608</v>
          </cell>
          <cell r="Y477">
            <v>2443612.6797230067</v>
          </cell>
          <cell r="Z477">
            <v>2607753.6632708996</v>
          </cell>
          <cell r="AA477">
            <v>2770928.956534349</v>
          </cell>
          <cell r="AB477">
            <v>2933107.5877873083</v>
          </cell>
          <cell r="AC477">
            <v>3094257.6561519504</v>
          </cell>
          <cell r="AD477">
            <v>3254346.303724113</v>
          </cell>
          <cell r="AE477">
            <v>3413339.6868625088</v>
          </cell>
          <cell r="AF477">
            <v>3571202.946616612</v>
          </cell>
          <cell r="AG477">
            <v>3727900.178267381</v>
          </cell>
          <cell r="AH477">
            <v>3883394.399954203</v>
          </cell>
          <cell r="AI477">
            <v>4036722.5123005873</v>
          </cell>
          <cell r="AJ477">
            <v>4188555.665001634</v>
          </cell>
          <cell r="AK477">
            <v>0</v>
          </cell>
          <cell r="AL477">
            <v>4188555.665001634</v>
          </cell>
        </row>
        <row r="478">
          <cell r="A478" t="str">
            <v> - в местной валюте</v>
          </cell>
          <cell r="B478" t="str">
            <v> - in local currency</v>
          </cell>
          <cell r="D478" t="str">
            <v>тыс.руб.</v>
          </cell>
          <cell r="E478" t="str">
            <v>on_end</v>
          </cell>
          <cell r="F478">
            <v>539186.756392189</v>
          </cell>
          <cell r="G478">
            <v>397842.45386668894</v>
          </cell>
          <cell r="H478">
            <v>423462.4166060084</v>
          </cell>
          <cell r="I478">
            <v>465438.57740418136</v>
          </cell>
          <cell r="J478">
            <v>517355.9552859237</v>
          </cell>
          <cell r="K478">
            <v>579902.4133031658</v>
          </cell>
          <cell r="L478">
            <v>653100.6400798608</v>
          </cell>
          <cell r="M478">
            <v>737101.975767211</v>
          </cell>
          <cell r="N478">
            <v>831322.3950142442</v>
          </cell>
          <cell r="O478">
            <v>935741.4445802395</v>
          </cell>
          <cell r="P478">
            <v>1050337.4015196932</v>
          </cell>
          <cell r="Q478">
            <v>1175054.2803843566</v>
          </cell>
          <cell r="R478">
            <v>1310048.662326383</v>
          </cell>
          <cell r="S478">
            <v>1455511.810713973</v>
          </cell>
          <cell r="T478">
            <v>1611419.017473238</v>
          </cell>
          <cell r="U478">
            <v>1777977.7156086788</v>
          </cell>
          <cell r="V478">
            <v>1945691.9301778702</v>
          </cell>
          <cell r="W478">
            <v>2112553.0445069736</v>
          </cell>
          <cell r="X478">
            <v>2278536.075527608</v>
          </cell>
          <cell r="Y478">
            <v>2443612.6797230067</v>
          </cell>
          <cell r="Z478">
            <v>2607753.6632708996</v>
          </cell>
          <cell r="AA478">
            <v>2770928.956534349</v>
          </cell>
          <cell r="AB478">
            <v>2933107.5877873083</v>
          </cell>
          <cell r="AC478">
            <v>3094257.6561519504</v>
          </cell>
          <cell r="AD478">
            <v>3254346.303724113</v>
          </cell>
          <cell r="AE478">
            <v>3413339.6868625088</v>
          </cell>
          <cell r="AF478">
            <v>3571202.946616612</v>
          </cell>
          <cell r="AG478">
            <v>3727900.178267381</v>
          </cell>
          <cell r="AH478">
            <v>3883394.399954203</v>
          </cell>
          <cell r="AI478">
            <v>4036722.5123005873</v>
          </cell>
          <cell r="AJ478">
            <v>4188555.665001634</v>
          </cell>
          <cell r="AK478">
            <v>0</v>
          </cell>
          <cell r="AL478">
            <v>4188555.665001634</v>
          </cell>
        </row>
        <row r="479">
          <cell r="A479" t="str">
            <v> - в иностранной валюте</v>
          </cell>
          <cell r="B479" t="str">
            <v> - in foreign currency</v>
          </cell>
          <cell r="D479" t="str">
            <v>тыс.долл.</v>
          </cell>
          <cell r="E479" t="str">
            <v>on_end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</row>
        <row r="483">
          <cell r="A483" t="str">
            <v>Цт=максимальные Постоянные цены</v>
          </cell>
          <cell r="B483" t="str">
            <v>Цт=максимальные Постоянные цены</v>
          </cell>
          <cell r="AL483" t="str">
            <v>АЛЬТ-Инвест™ 3.0</v>
          </cell>
        </row>
        <row r="484">
          <cell r="A484" t="str">
            <v>КРЕДИТЫ В МЕСТНОЙ ВАЛЮТЕ</v>
          </cell>
          <cell r="B484" t="str">
            <v>LOCAL LOANS</v>
          </cell>
          <cell r="F484" t="str">
            <v>"0"</v>
          </cell>
          <cell r="G484" t="str">
            <v>1 год</v>
          </cell>
          <cell r="H484" t="str">
            <v>2 год</v>
          </cell>
          <cell r="I484" t="str">
            <v>3 год</v>
          </cell>
          <cell r="J484" t="str">
            <v>4 год</v>
          </cell>
          <cell r="K484" t="str">
            <v>5 год</v>
          </cell>
          <cell r="L484" t="str">
            <v>6 год</v>
          </cell>
          <cell r="M484" t="str">
            <v>7 год</v>
          </cell>
          <cell r="N484" t="str">
            <v>8 год</v>
          </cell>
          <cell r="O484" t="str">
            <v>9 год</v>
          </cell>
          <cell r="P484" t="str">
            <v>10 год</v>
          </cell>
          <cell r="Q484" t="str">
            <v>11 год</v>
          </cell>
          <cell r="R484" t="str">
            <v>12 год</v>
          </cell>
          <cell r="S484" t="str">
            <v>13 год</v>
          </cell>
          <cell r="T484" t="str">
            <v>14 год</v>
          </cell>
          <cell r="U484" t="str">
            <v>15 год</v>
          </cell>
          <cell r="V484" t="str">
            <v>16 год</v>
          </cell>
          <cell r="W484" t="str">
            <v>17 год</v>
          </cell>
          <cell r="X484" t="str">
            <v>18 год</v>
          </cell>
          <cell r="Y484" t="str">
            <v>19 год</v>
          </cell>
          <cell r="Z484" t="str">
            <v>20 год</v>
          </cell>
          <cell r="AA484" t="str">
            <v>21 год</v>
          </cell>
          <cell r="AB484" t="str">
            <v>22 год</v>
          </cell>
          <cell r="AC484" t="str">
            <v>23 год</v>
          </cell>
          <cell r="AD484" t="str">
            <v>24 год</v>
          </cell>
          <cell r="AE484" t="str">
            <v>25 год</v>
          </cell>
          <cell r="AF484" t="str">
            <v>26 год</v>
          </cell>
          <cell r="AG484" t="str">
            <v>27 год</v>
          </cell>
          <cell r="AH484" t="str">
            <v>28 год</v>
          </cell>
          <cell r="AI484" t="str">
            <v>29 год</v>
          </cell>
          <cell r="AJ484" t="str">
            <v>30 год</v>
          </cell>
          <cell r="AL484" t="str">
            <v>ВСЕГО</v>
          </cell>
        </row>
        <row r="486">
          <cell r="A486" t="str">
            <v>Кредит 1</v>
          </cell>
          <cell r="B486" t="str">
            <v>Loan item</v>
          </cell>
          <cell r="E486" t="str">
            <v>nam_kred</v>
          </cell>
        </row>
        <row r="487">
          <cell r="A487" t="str">
            <v>Тип кредита</v>
          </cell>
          <cell r="B487" t="str">
            <v>Loan purpose</v>
          </cell>
          <cell r="C487" t="str">
            <v>Инвестиционный</v>
          </cell>
          <cell r="E487" t="str">
            <v>del_str</v>
          </cell>
          <cell r="F487">
            <v>2</v>
          </cell>
          <cell r="G487" t="str">
            <v/>
          </cell>
        </row>
        <row r="488">
          <cell r="A488" t="str">
            <v>Период выплаты процентов</v>
          </cell>
          <cell r="B488" t="str">
            <v>Period of interest payments</v>
          </cell>
          <cell r="D488" t="str">
            <v>дни</v>
          </cell>
          <cell r="E488" t="str">
            <v>int_int,del_str</v>
          </cell>
          <cell r="F488">
            <v>360</v>
          </cell>
          <cell r="G488" t="str">
            <v/>
          </cell>
        </row>
        <row r="489">
          <cell r="A489" t="str">
            <v>Отсрочка выплаты процентов</v>
          </cell>
          <cell r="B489" t="str">
            <v>Delay of payment of interests</v>
          </cell>
          <cell r="D489" t="str">
            <v>год</v>
          </cell>
          <cell r="E489" t="str">
            <v>,del_str</v>
          </cell>
          <cell r="F489">
            <v>0</v>
          </cell>
        </row>
        <row r="490">
          <cell r="A490" t="str">
            <v>Процентная ставка</v>
          </cell>
          <cell r="B490" t="str">
            <v>Interest rate</v>
          </cell>
        </row>
        <row r="491">
          <cell r="A491" t="str">
            <v> - номинальная годовая банковская</v>
          </cell>
          <cell r="B491" t="str">
            <v> - nominal per year</v>
          </cell>
          <cell r="D491" t="str">
            <v>%</v>
          </cell>
          <cell r="E491" t="str">
            <v>on_end</v>
          </cell>
          <cell r="F491">
            <v>0.15</v>
          </cell>
          <cell r="G491">
            <v>0.15</v>
          </cell>
          <cell r="H491">
            <v>0.15</v>
          </cell>
          <cell r="I491">
            <v>0.15</v>
          </cell>
          <cell r="J491">
            <v>0.15</v>
          </cell>
          <cell r="K491">
            <v>0.15</v>
          </cell>
          <cell r="L491">
            <v>0.15</v>
          </cell>
          <cell r="M491">
            <v>0.15</v>
          </cell>
          <cell r="N491">
            <v>0.15</v>
          </cell>
          <cell r="O491">
            <v>0.15</v>
          </cell>
          <cell r="P491">
            <v>0.15</v>
          </cell>
          <cell r="Q491">
            <v>0.15</v>
          </cell>
          <cell r="R491">
            <v>0.15</v>
          </cell>
          <cell r="S491">
            <v>0.15</v>
          </cell>
          <cell r="T491">
            <v>0.15</v>
          </cell>
          <cell r="U491">
            <v>0.15</v>
          </cell>
          <cell r="V491">
            <v>0.15</v>
          </cell>
          <cell r="W491">
            <v>0.15</v>
          </cell>
          <cell r="X491">
            <v>0.15</v>
          </cell>
          <cell r="Y491">
            <v>0.15</v>
          </cell>
          <cell r="Z491">
            <v>0.15</v>
          </cell>
          <cell r="AA491">
            <v>0.15</v>
          </cell>
          <cell r="AB491">
            <v>0.15</v>
          </cell>
          <cell r="AC491">
            <v>0.15</v>
          </cell>
          <cell r="AD491">
            <v>0.15</v>
          </cell>
          <cell r="AE491">
            <v>0.15</v>
          </cell>
          <cell r="AF491">
            <v>0.15</v>
          </cell>
          <cell r="AG491">
            <v>0.15</v>
          </cell>
          <cell r="AH491">
            <v>0.15</v>
          </cell>
          <cell r="AI491">
            <v>0.15</v>
          </cell>
          <cell r="AJ491">
            <v>0.15</v>
          </cell>
        </row>
        <row r="492">
          <cell r="A492" t="str">
            <v> - реальная годовая банковская</v>
          </cell>
          <cell r="B492" t="str">
            <v> - real per year</v>
          </cell>
          <cell r="D492" t="str">
            <v>%</v>
          </cell>
          <cell r="E492" t="str">
            <v>on_end,del_str</v>
          </cell>
          <cell r="F492">
            <v>0.15</v>
          </cell>
          <cell r="G492">
            <v>0.15</v>
          </cell>
          <cell r="H492">
            <v>0.15</v>
          </cell>
          <cell r="I492">
            <v>0.15</v>
          </cell>
          <cell r="J492">
            <v>0.15</v>
          </cell>
          <cell r="K492">
            <v>0.15</v>
          </cell>
          <cell r="L492">
            <v>0.15</v>
          </cell>
          <cell r="M492">
            <v>0.15</v>
          </cell>
          <cell r="N492">
            <v>0.15</v>
          </cell>
          <cell r="O492">
            <v>0.15</v>
          </cell>
          <cell r="P492">
            <v>0.15</v>
          </cell>
          <cell r="Q492">
            <v>0.15</v>
          </cell>
          <cell r="R492">
            <v>0.15</v>
          </cell>
          <cell r="S492">
            <v>0.15</v>
          </cell>
          <cell r="T492">
            <v>0.15</v>
          </cell>
          <cell r="U492">
            <v>0.15</v>
          </cell>
          <cell r="V492">
            <v>0.15</v>
          </cell>
          <cell r="W492">
            <v>0.15</v>
          </cell>
          <cell r="X492">
            <v>0.15</v>
          </cell>
          <cell r="Y492">
            <v>0.15</v>
          </cell>
          <cell r="Z492">
            <v>0.15</v>
          </cell>
          <cell r="AA492">
            <v>0.15</v>
          </cell>
          <cell r="AB492">
            <v>0.15</v>
          </cell>
          <cell r="AC492">
            <v>0.15</v>
          </cell>
          <cell r="AD492">
            <v>0.15</v>
          </cell>
          <cell r="AE492">
            <v>0.15</v>
          </cell>
          <cell r="AF492">
            <v>0.15</v>
          </cell>
          <cell r="AG492">
            <v>0.15</v>
          </cell>
          <cell r="AH492">
            <v>0.15</v>
          </cell>
          <cell r="AI492">
            <v>0.15</v>
          </cell>
          <cell r="AJ492">
            <v>0.15</v>
          </cell>
        </row>
        <row r="493">
          <cell r="A493" t="str">
            <v> - расчетная на интервал планирования</v>
          </cell>
          <cell r="B493" t="str">
            <v> - used in calculations per PI (simple interest)</v>
          </cell>
          <cell r="D493" t="str">
            <v>%</v>
          </cell>
          <cell r="E493" t="str">
            <v>rate_paid,on_end,del_str</v>
          </cell>
          <cell r="F493">
            <v>0.15</v>
          </cell>
          <cell r="G493">
            <v>0.15</v>
          </cell>
          <cell r="H493">
            <v>0.15</v>
          </cell>
          <cell r="I493">
            <v>0.15</v>
          </cell>
          <cell r="J493">
            <v>0.15</v>
          </cell>
          <cell r="K493">
            <v>0.15</v>
          </cell>
          <cell r="L493">
            <v>0.15</v>
          </cell>
          <cell r="M493">
            <v>0.15</v>
          </cell>
          <cell r="N493">
            <v>0.15</v>
          </cell>
          <cell r="O493">
            <v>0.15</v>
          </cell>
          <cell r="P493">
            <v>0.15</v>
          </cell>
          <cell r="Q493">
            <v>0.15</v>
          </cell>
          <cell r="R493">
            <v>0.15</v>
          </cell>
          <cell r="S493">
            <v>0.15</v>
          </cell>
          <cell r="T493">
            <v>0.15</v>
          </cell>
          <cell r="U493">
            <v>0.15</v>
          </cell>
          <cell r="V493">
            <v>0.15</v>
          </cell>
          <cell r="W493">
            <v>0.15</v>
          </cell>
          <cell r="X493">
            <v>0.15</v>
          </cell>
          <cell r="Y493">
            <v>0.15</v>
          </cell>
          <cell r="Z493">
            <v>0.15</v>
          </cell>
          <cell r="AA493">
            <v>0.15</v>
          </cell>
          <cell r="AB493">
            <v>0.15</v>
          </cell>
          <cell r="AC493">
            <v>0.15</v>
          </cell>
          <cell r="AD493">
            <v>0.15</v>
          </cell>
          <cell r="AE493">
            <v>0.15</v>
          </cell>
          <cell r="AF493">
            <v>0.15</v>
          </cell>
          <cell r="AG493">
            <v>0.15</v>
          </cell>
          <cell r="AH493">
            <v>0.15</v>
          </cell>
          <cell r="AI493">
            <v>0.15</v>
          </cell>
          <cell r="AJ493">
            <v>0.15</v>
          </cell>
        </row>
        <row r="494">
          <cell r="A494" t="str">
            <v>ControlPoint1</v>
          </cell>
        </row>
        <row r="495">
          <cell r="A495" t="str">
            <v>Увеличение задолженности (+)</v>
          </cell>
          <cell r="B495" t="str">
            <v>Increase of principal (additional sums) (+)</v>
          </cell>
          <cell r="D495" t="str">
            <v>тыс.руб.</v>
          </cell>
          <cell r="E495" t="str">
            <v>incrdebt1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 t="str">
            <v/>
          </cell>
          <cell r="AL495">
            <v>0</v>
          </cell>
        </row>
        <row r="496">
          <cell r="A496" t="str">
            <v>Погашение задолженности (-)</v>
          </cell>
          <cell r="B496" t="str">
            <v>Disbursement of principal (-)</v>
          </cell>
          <cell r="D496" t="str">
            <v>тыс.руб.</v>
          </cell>
          <cell r="E496" t="str">
            <v>decrdebt1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 t="str">
            <v/>
          </cell>
          <cell r="AL496">
            <v>0</v>
          </cell>
          <cell r="AM496" t="str">
            <v/>
          </cell>
        </row>
        <row r="497">
          <cell r="A497" t="str">
            <v>Задолженность на конец текущего ИП</v>
          </cell>
          <cell r="B497" t="str">
            <v>Outstanding debt for the end of the current PI</v>
          </cell>
          <cell r="D497" t="str">
            <v>тыс.руб.</v>
          </cell>
          <cell r="E497" t="str">
            <v>debt1,on_end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L497">
            <v>0</v>
          </cell>
        </row>
        <row r="498">
          <cell r="A498" t="str">
            <v>Выплаченные проценты</v>
          </cell>
          <cell r="B498" t="str">
            <v>Interest paid</v>
          </cell>
          <cell r="D498" t="str">
            <v>тыс.руб.</v>
          </cell>
          <cell r="E498" t="str">
            <v>int1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 t="str">
            <v/>
          </cell>
          <cell r="AL498">
            <v>0</v>
          </cell>
        </row>
        <row r="499">
          <cell r="A499" t="str">
            <v>Интервал,где впервые взят  кредит</v>
          </cell>
          <cell r="B499" t="str">
            <v>PI when first loan was taken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L499">
            <v>0</v>
          </cell>
        </row>
        <row r="500">
          <cell r="A500" t="str">
            <v>Проценты к уплате, нарастающим итогом</v>
          </cell>
          <cell r="B500" t="str">
            <v>Accumulated calculated interest</v>
          </cell>
          <cell r="D500" t="str">
            <v>тыс.руб.</v>
          </cell>
          <cell r="E500" t="str">
            <v>,on_end,del_str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</row>
        <row r="501">
          <cell r="A501" t="str">
            <v>Сумма невыплаченных процентов</v>
          </cell>
          <cell r="B501" t="str">
            <v>Deferred interest payments (current liabilities)</v>
          </cell>
          <cell r="D501" t="str">
            <v>тыс.руб.</v>
          </cell>
          <cell r="E501" t="str">
            <v>npaid1,del_str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</row>
        <row r="502">
          <cell r="A502" t="str">
            <v>Сумма процентов, относимая на себестоимость</v>
          </cell>
          <cell r="B502" t="str">
            <v>Interest included in tax-free costs</v>
          </cell>
          <cell r="D502" t="str">
            <v>тыс.руб.</v>
          </cell>
          <cell r="E502" t="str">
            <v>intax1,del_str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L502">
            <v>0</v>
          </cell>
        </row>
        <row r="503">
          <cell r="A503" t="str">
            <v>Выплаты по инвестиционным кредитам</v>
          </cell>
          <cell r="B503" t="str">
            <v>Principal and interest repayment (for investments purpose loans)</v>
          </cell>
          <cell r="D503" t="str">
            <v>тыс.руб.</v>
          </cell>
          <cell r="E503" t="str">
            <v>invdebt1,del_str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L503">
            <v>0</v>
          </cell>
        </row>
        <row r="505">
          <cell r="A505" t="str">
            <v>Кредит 2</v>
          </cell>
          <cell r="B505" t="str">
            <v>Loan item</v>
          </cell>
          <cell r="E505" t="str">
            <v>nam_kred</v>
          </cell>
        </row>
        <row r="506">
          <cell r="A506" t="str">
            <v>Тип кредита</v>
          </cell>
          <cell r="B506" t="str">
            <v>Loan purpose</v>
          </cell>
          <cell r="C506" t="str">
            <v>Хозяйственный</v>
          </cell>
          <cell r="E506" t="str">
            <v>del_str</v>
          </cell>
          <cell r="F506">
            <v>1</v>
          </cell>
          <cell r="G506" t="str">
            <v/>
          </cell>
        </row>
        <row r="507">
          <cell r="A507" t="str">
            <v>Период выплаты процентов</v>
          </cell>
          <cell r="B507" t="str">
            <v>Period of interest payments</v>
          </cell>
          <cell r="D507" t="str">
            <v>дни</v>
          </cell>
          <cell r="E507" t="str">
            <v>int_int,del_str</v>
          </cell>
          <cell r="F507">
            <v>360</v>
          </cell>
          <cell r="G507" t="str">
            <v/>
          </cell>
        </row>
        <row r="508">
          <cell r="A508" t="str">
            <v>Отсрочка выплаты процентов</v>
          </cell>
          <cell r="B508" t="str">
            <v>Delay of payment of interests</v>
          </cell>
          <cell r="D508" t="str">
            <v>год</v>
          </cell>
          <cell r="E508" t="str">
            <v>,del_str</v>
          </cell>
          <cell r="F508">
            <v>0</v>
          </cell>
        </row>
        <row r="509">
          <cell r="A509" t="str">
            <v>Процентная ставка</v>
          </cell>
          <cell r="B509" t="str">
            <v>Interest rate</v>
          </cell>
        </row>
        <row r="510">
          <cell r="A510" t="str">
            <v> - номинальная годовая банковская</v>
          </cell>
          <cell r="B510" t="str">
            <v> - nominal per year</v>
          </cell>
          <cell r="D510" t="str">
            <v>%</v>
          </cell>
          <cell r="E510" t="str">
            <v>on_end</v>
          </cell>
          <cell r="F510">
            <v>0.15</v>
          </cell>
          <cell r="G510">
            <v>0.15</v>
          </cell>
          <cell r="H510">
            <v>0.15</v>
          </cell>
          <cell r="I510">
            <v>0.15</v>
          </cell>
          <cell r="J510">
            <v>0.15</v>
          </cell>
          <cell r="K510">
            <v>0.15</v>
          </cell>
          <cell r="L510">
            <v>0.15</v>
          </cell>
          <cell r="M510">
            <v>0.15</v>
          </cell>
          <cell r="N510">
            <v>0.15</v>
          </cell>
          <cell r="O510">
            <v>0.15</v>
          </cell>
          <cell r="P510">
            <v>0.15</v>
          </cell>
          <cell r="Q510">
            <v>0.15</v>
          </cell>
          <cell r="R510">
            <v>0.15</v>
          </cell>
          <cell r="S510">
            <v>0.15</v>
          </cell>
          <cell r="T510">
            <v>0.15</v>
          </cell>
          <cell r="U510">
            <v>0.15</v>
          </cell>
          <cell r="V510">
            <v>0.15</v>
          </cell>
          <cell r="W510">
            <v>0.15</v>
          </cell>
          <cell r="X510">
            <v>0.15</v>
          </cell>
          <cell r="Y510">
            <v>0.15</v>
          </cell>
          <cell r="Z510">
            <v>0.15</v>
          </cell>
          <cell r="AA510">
            <v>0.15</v>
          </cell>
          <cell r="AB510">
            <v>0.15</v>
          </cell>
          <cell r="AC510">
            <v>0.15</v>
          </cell>
          <cell r="AD510">
            <v>0.15</v>
          </cell>
          <cell r="AE510">
            <v>0.15</v>
          </cell>
          <cell r="AF510">
            <v>0.15</v>
          </cell>
          <cell r="AG510">
            <v>0.15</v>
          </cell>
          <cell r="AH510">
            <v>0.15</v>
          </cell>
          <cell r="AI510">
            <v>0.15</v>
          </cell>
          <cell r="AJ510">
            <v>0.15</v>
          </cell>
        </row>
        <row r="511">
          <cell r="A511" t="str">
            <v> - реальная годовая банковская</v>
          </cell>
          <cell r="B511" t="str">
            <v> - real per year</v>
          </cell>
          <cell r="D511" t="str">
            <v>%</v>
          </cell>
          <cell r="E511" t="str">
            <v>on_end,del_str</v>
          </cell>
          <cell r="F511">
            <v>0.15</v>
          </cell>
          <cell r="G511">
            <v>0.15</v>
          </cell>
          <cell r="H511">
            <v>0.15</v>
          </cell>
          <cell r="I511">
            <v>0.15</v>
          </cell>
          <cell r="J511">
            <v>0.15</v>
          </cell>
          <cell r="K511">
            <v>0.15</v>
          </cell>
          <cell r="L511">
            <v>0.15</v>
          </cell>
          <cell r="M511">
            <v>0.15</v>
          </cell>
          <cell r="N511">
            <v>0.15</v>
          </cell>
          <cell r="O511">
            <v>0.15</v>
          </cell>
          <cell r="P511">
            <v>0.15</v>
          </cell>
          <cell r="Q511">
            <v>0.15</v>
          </cell>
          <cell r="R511">
            <v>0.15</v>
          </cell>
          <cell r="S511">
            <v>0.15</v>
          </cell>
          <cell r="T511">
            <v>0.15</v>
          </cell>
          <cell r="U511">
            <v>0.15</v>
          </cell>
          <cell r="V511">
            <v>0.15</v>
          </cell>
          <cell r="W511">
            <v>0.15</v>
          </cell>
          <cell r="X511">
            <v>0.15</v>
          </cell>
          <cell r="Y511">
            <v>0.15</v>
          </cell>
          <cell r="Z511">
            <v>0.15</v>
          </cell>
          <cell r="AA511">
            <v>0.15</v>
          </cell>
          <cell r="AB511">
            <v>0.15</v>
          </cell>
          <cell r="AC511">
            <v>0.15</v>
          </cell>
          <cell r="AD511">
            <v>0.15</v>
          </cell>
          <cell r="AE511">
            <v>0.15</v>
          </cell>
          <cell r="AF511">
            <v>0.15</v>
          </cell>
          <cell r="AG511">
            <v>0.15</v>
          </cell>
          <cell r="AH511">
            <v>0.15</v>
          </cell>
          <cell r="AI511">
            <v>0.15</v>
          </cell>
          <cell r="AJ511">
            <v>0.15</v>
          </cell>
        </row>
        <row r="512">
          <cell r="A512" t="str">
            <v> - расчетная на интервал планирования</v>
          </cell>
          <cell r="B512" t="str">
            <v> - used in calculations per PI (simple interest)</v>
          </cell>
          <cell r="D512" t="str">
            <v>%</v>
          </cell>
          <cell r="E512" t="str">
            <v>rate_paid,on_end,del_str</v>
          </cell>
          <cell r="F512">
            <v>0.15</v>
          </cell>
          <cell r="G512">
            <v>0.15</v>
          </cell>
          <cell r="H512">
            <v>0.15</v>
          </cell>
          <cell r="I512">
            <v>0.15</v>
          </cell>
          <cell r="J512">
            <v>0.15</v>
          </cell>
          <cell r="K512">
            <v>0.15</v>
          </cell>
          <cell r="L512">
            <v>0.15</v>
          </cell>
          <cell r="M512">
            <v>0.15</v>
          </cell>
          <cell r="N512">
            <v>0.15</v>
          </cell>
          <cell r="O512">
            <v>0.15</v>
          </cell>
          <cell r="P512">
            <v>0.15</v>
          </cell>
          <cell r="Q512">
            <v>0.15</v>
          </cell>
          <cell r="R512">
            <v>0.15</v>
          </cell>
          <cell r="S512">
            <v>0.15</v>
          </cell>
          <cell r="T512">
            <v>0.15</v>
          </cell>
          <cell r="U512">
            <v>0.15</v>
          </cell>
          <cell r="V512">
            <v>0.15</v>
          </cell>
          <cell r="W512">
            <v>0.15</v>
          </cell>
          <cell r="X512">
            <v>0.15</v>
          </cell>
          <cell r="Y512">
            <v>0.15</v>
          </cell>
          <cell r="Z512">
            <v>0.15</v>
          </cell>
          <cell r="AA512">
            <v>0.15</v>
          </cell>
          <cell r="AB512">
            <v>0.15</v>
          </cell>
          <cell r="AC512">
            <v>0.15</v>
          </cell>
          <cell r="AD512">
            <v>0.15</v>
          </cell>
          <cell r="AE512">
            <v>0.15</v>
          </cell>
          <cell r="AF512">
            <v>0.15</v>
          </cell>
          <cell r="AG512">
            <v>0.15</v>
          </cell>
          <cell r="AH512">
            <v>0.15</v>
          </cell>
          <cell r="AI512">
            <v>0.15</v>
          </cell>
          <cell r="AJ512">
            <v>0.15</v>
          </cell>
        </row>
        <row r="513">
          <cell r="A513" t="str">
            <v>ControlPoint1</v>
          </cell>
        </row>
        <row r="514">
          <cell r="A514" t="str">
            <v>Увеличение задолженности (+)</v>
          </cell>
          <cell r="B514" t="str">
            <v>Increase of principal (additional sums) (+)</v>
          </cell>
          <cell r="D514" t="str">
            <v>тыс.руб.</v>
          </cell>
          <cell r="E514" t="str">
            <v>incrdebt1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 t="str">
            <v/>
          </cell>
          <cell r="AL514">
            <v>0</v>
          </cell>
        </row>
        <row r="515">
          <cell r="A515" t="str">
            <v>Погашение задолженности (-)</v>
          </cell>
          <cell r="B515" t="str">
            <v>Disbursement of principal (-)</v>
          </cell>
          <cell r="D515" t="str">
            <v>тыс.руб.</v>
          </cell>
          <cell r="E515" t="str">
            <v>decrdebt1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 t="str">
            <v/>
          </cell>
          <cell r="AL515">
            <v>0</v>
          </cell>
        </row>
        <row r="516">
          <cell r="A516" t="str">
            <v>Задолженность на конец текущего ИП</v>
          </cell>
          <cell r="B516" t="str">
            <v>Outstanding debt for the end of the current PI</v>
          </cell>
          <cell r="D516" t="str">
            <v>тыс.руб.</v>
          </cell>
          <cell r="E516" t="str">
            <v>debt1,on_end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L516">
            <v>0</v>
          </cell>
        </row>
        <row r="517">
          <cell r="A517" t="str">
            <v>Выплаченные проценты</v>
          </cell>
          <cell r="B517" t="str">
            <v>Interest paid</v>
          </cell>
          <cell r="D517" t="str">
            <v>тыс.руб.</v>
          </cell>
          <cell r="E517" t="str">
            <v>int1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 t="str">
            <v/>
          </cell>
          <cell r="AL517">
            <v>0</v>
          </cell>
        </row>
        <row r="518">
          <cell r="A518" t="str">
            <v>Интервал,где впервые взят  кредит</v>
          </cell>
          <cell r="B518" t="str">
            <v>PI when first loan was taken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L518">
            <v>0</v>
          </cell>
        </row>
        <row r="519">
          <cell r="A519" t="str">
            <v>Проценты к уплате, нарастающим итогом</v>
          </cell>
          <cell r="B519" t="str">
            <v>Accumulated calculated interest</v>
          </cell>
          <cell r="D519" t="str">
            <v>тыс.руб.</v>
          </cell>
          <cell r="E519" t="str">
            <v>,on_end,del_str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</row>
        <row r="520">
          <cell r="A520" t="str">
            <v>Сумма невыплаченных процентов</v>
          </cell>
          <cell r="B520" t="str">
            <v>Deferred interest payments (current liabilities)</v>
          </cell>
          <cell r="D520" t="str">
            <v>тыс.руб.</v>
          </cell>
          <cell r="E520" t="str">
            <v>npaid1,del_str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A521" t="str">
            <v>Сумма процентов, относимая на себестоимость</v>
          </cell>
          <cell r="B521" t="str">
            <v>Interest included in tax-free costs</v>
          </cell>
          <cell r="D521" t="str">
            <v>тыс.руб.</v>
          </cell>
          <cell r="E521" t="str">
            <v>intax1,del_str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L521">
            <v>0</v>
          </cell>
        </row>
        <row r="522">
          <cell r="A522" t="str">
            <v>Выплаты по инвестиционным кредитам</v>
          </cell>
          <cell r="B522" t="str">
            <v>Principal and interest repayment (for investments purpose loans)</v>
          </cell>
          <cell r="D522" t="str">
            <v>тыс.руб.</v>
          </cell>
          <cell r="E522" t="str">
            <v>invdebt1,del_str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L522">
            <v>0</v>
          </cell>
        </row>
        <row r="524">
          <cell r="A524" t="str">
            <v> = Свободные денежные средства</v>
          </cell>
          <cell r="B524" t="str">
            <v>Accumulated cash balance</v>
          </cell>
          <cell r="D524" t="str">
            <v>тыс.руб.</v>
          </cell>
          <cell r="E524" t="str">
            <v>on_end</v>
          </cell>
          <cell r="F524">
            <v>539186.756392189</v>
          </cell>
          <cell r="G524">
            <v>397842.45386668894</v>
          </cell>
          <cell r="H524">
            <v>423462.4166060084</v>
          </cell>
          <cell r="I524">
            <v>465438.57740418136</v>
          </cell>
          <cell r="J524">
            <v>517355.9552859237</v>
          </cell>
          <cell r="K524">
            <v>579902.4133031658</v>
          </cell>
          <cell r="L524">
            <v>653100.6400798608</v>
          </cell>
          <cell r="M524">
            <v>737101.975767211</v>
          </cell>
          <cell r="N524">
            <v>831322.3950142442</v>
          </cell>
          <cell r="O524">
            <v>935741.4445802395</v>
          </cell>
          <cell r="P524">
            <v>1050337.4015196932</v>
          </cell>
          <cell r="Q524">
            <v>1175054.2803843566</v>
          </cell>
          <cell r="R524">
            <v>1310048.662326383</v>
          </cell>
          <cell r="S524">
            <v>1455511.810713973</v>
          </cell>
          <cell r="T524">
            <v>1611419.017473238</v>
          </cell>
          <cell r="U524">
            <v>1777977.7156086788</v>
          </cell>
          <cell r="V524">
            <v>1945691.9301778702</v>
          </cell>
          <cell r="W524">
            <v>2112553.0445069736</v>
          </cell>
          <cell r="X524">
            <v>2278536.075527608</v>
          </cell>
          <cell r="Y524">
            <v>2443612.6797230067</v>
          </cell>
          <cell r="Z524">
            <v>2607753.6632708996</v>
          </cell>
          <cell r="AA524">
            <v>2770928.956534349</v>
          </cell>
          <cell r="AB524">
            <v>2933107.5877873083</v>
          </cell>
          <cell r="AC524">
            <v>3094257.6561519504</v>
          </cell>
          <cell r="AD524">
            <v>3254346.303724113</v>
          </cell>
          <cell r="AE524">
            <v>3413339.6868625088</v>
          </cell>
          <cell r="AF524">
            <v>3571202.946616612</v>
          </cell>
          <cell r="AG524">
            <v>3727900.178267381</v>
          </cell>
          <cell r="AH524">
            <v>3883394.399954203</v>
          </cell>
          <cell r="AI524">
            <v>4036722.5123005873</v>
          </cell>
          <cell r="AJ524">
            <v>4188555.665001634</v>
          </cell>
          <cell r="AK524">
            <v>0</v>
          </cell>
          <cell r="AL524">
            <v>4188555.665001634</v>
          </cell>
        </row>
        <row r="525">
          <cell r="A525" t="str">
            <v> - в местной валюте</v>
          </cell>
          <cell r="B525" t="str">
            <v> - in local currency</v>
          </cell>
          <cell r="D525" t="str">
            <v>тыс.руб.</v>
          </cell>
          <cell r="E525" t="str">
            <v>on_end</v>
          </cell>
          <cell r="F525">
            <v>539186.756392189</v>
          </cell>
          <cell r="G525">
            <v>397842.45386668894</v>
          </cell>
          <cell r="H525">
            <v>423462.4166060084</v>
          </cell>
          <cell r="I525">
            <v>465438.57740418136</v>
          </cell>
          <cell r="J525">
            <v>517355.9552859237</v>
          </cell>
          <cell r="K525">
            <v>579902.4133031658</v>
          </cell>
          <cell r="L525">
            <v>653100.6400798608</v>
          </cell>
          <cell r="M525">
            <v>737101.975767211</v>
          </cell>
          <cell r="N525">
            <v>831322.3950142442</v>
          </cell>
          <cell r="O525">
            <v>935741.4445802395</v>
          </cell>
          <cell r="P525">
            <v>1050337.4015196932</v>
          </cell>
          <cell r="Q525">
            <v>1175054.2803843566</v>
          </cell>
          <cell r="R525">
            <v>1310048.662326383</v>
          </cell>
          <cell r="S525">
            <v>1455511.810713973</v>
          </cell>
          <cell r="T525">
            <v>1611419.017473238</v>
          </cell>
          <cell r="U525">
            <v>1777977.7156086788</v>
          </cell>
          <cell r="V525">
            <v>1945691.9301778702</v>
          </cell>
          <cell r="W525">
            <v>2112553.0445069736</v>
          </cell>
          <cell r="X525">
            <v>2278536.075527608</v>
          </cell>
          <cell r="Y525">
            <v>2443612.6797230067</v>
          </cell>
          <cell r="Z525">
            <v>2607753.6632708996</v>
          </cell>
          <cell r="AA525">
            <v>2770928.956534349</v>
          </cell>
          <cell r="AB525">
            <v>2933107.5877873083</v>
          </cell>
          <cell r="AC525">
            <v>3094257.6561519504</v>
          </cell>
          <cell r="AD525">
            <v>3254346.303724113</v>
          </cell>
          <cell r="AE525">
            <v>3413339.6868625088</v>
          </cell>
          <cell r="AF525">
            <v>3571202.946616612</v>
          </cell>
          <cell r="AG525">
            <v>3727900.178267381</v>
          </cell>
          <cell r="AH525">
            <v>3883394.399954203</v>
          </cell>
          <cell r="AI525">
            <v>4036722.5123005873</v>
          </cell>
          <cell r="AJ525">
            <v>4188555.665001634</v>
          </cell>
          <cell r="AK525">
            <v>0</v>
          </cell>
          <cell r="AL525">
            <v>4188555.665001634</v>
          </cell>
        </row>
        <row r="526">
          <cell r="A526" t="str">
            <v> - в иностранной валюте</v>
          </cell>
          <cell r="B526" t="str">
            <v> - in foreign currency</v>
          </cell>
          <cell r="D526" t="str">
            <v>тыс.долл.</v>
          </cell>
          <cell r="E526" t="str">
            <v>on_end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</row>
        <row r="530">
          <cell r="A530" t="str">
            <v>Цт=максимальные Постоянные цены</v>
          </cell>
          <cell r="B530" t="str">
            <v>Цт=максимальные Постоянные цены</v>
          </cell>
          <cell r="AL530" t="str">
            <v>АЛЬТ-Инвест™ 3.0</v>
          </cell>
        </row>
        <row r="531">
          <cell r="A531" t="str">
            <v>КРЕДИТЫ В ИНОСТРАННОЙ ВАЛЮТЕ</v>
          </cell>
          <cell r="B531" t="str">
            <v>FOREIGN LOANS</v>
          </cell>
          <cell r="F531" t="str">
            <v>"0"</v>
          </cell>
          <cell r="G531" t="str">
            <v>1 год</v>
          </cell>
          <cell r="H531" t="str">
            <v>2 год</v>
          </cell>
          <cell r="I531" t="str">
            <v>3 год</v>
          </cell>
          <cell r="J531" t="str">
            <v>4 год</v>
          </cell>
          <cell r="K531" t="str">
            <v>5 год</v>
          </cell>
          <cell r="L531" t="str">
            <v>6 год</v>
          </cell>
          <cell r="M531" t="str">
            <v>7 год</v>
          </cell>
          <cell r="N531" t="str">
            <v>8 год</v>
          </cell>
          <cell r="O531" t="str">
            <v>9 год</v>
          </cell>
          <cell r="P531" t="str">
            <v>10 год</v>
          </cell>
          <cell r="Q531" t="str">
            <v>11 год</v>
          </cell>
          <cell r="R531" t="str">
            <v>12 год</v>
          </cell>
          <cell r="S531" t="str">
            <v>13 год</v>
          </cell>
          <cell r="T531" t="str">
            <v>14 год</v>
          </cell>
          <cell r="U531" t="str">
            <v>15 год</v>
          </cell>
          <cell r="V531" t="str">
            <v>16 год</v>
          </cell>
          <cell r="W531" t="str">
            <v>17 год</v>
          </cell>
          <cell r="X531" t="str">
            <v>18 год</v>
          </cell>
          <cell r="Y531" t="str">
            <v>19 год</v>
          </cell>
          <cell r="Z531" t="str">
            <v>20 год</v>
          </cell>
          <cell r="AA531" t="str">
            <v>21 год</v>
          </cell>
          <cell r="AB531" t="str">
            <v>22 год</v>
          </cell>
          <cell r="AC531" t="str">
            <v>23 год</v>
          </cell>
          <cell r="AD531" t="str">
            <v>24 год</v>
          </cell>
          <cell r="AE531" t="str">
            <v>25 год</v>
          </cell>
          <cell r="AF531" t="str">
            <v>26 год</v>
          </cell>
          <cell r="AG531" t="str">
            <v>27 год</v>
          </cell>
          <cell r="AH531" t="str">
            <v>28 год</v>
          </cell>
          <cell r="AI531" t="str">
            <v>29 год</v>
          </cell>
          <cell r="AJ531" t="str">
            <v>30 год</v>
          </cell>
          <cell r="AL531" t="str">
            <v>ВСЕГО</v>
          </cell>
        </row>
        <row r="533">
          <cell r="A533" t="str">
            <v>Наименование </v>
          </cell>
          <cell r="B533" t="str">
            <v>Loan item</v>
          </cell>
          <cell r="E533" t="str">
            <v>nam_kred</v>
          </cell>
        </row>
        <row r="534">
          <cell r="A534" t="str">
            <v>Тип кредита</v>
          </cell>
          <cell r="B534" t="str">
            <v>Loan purpose</v>
          </cell>
          <cell r="C534" t="str">
            <v>Инвестиционный</v>
          </cell>
          <cell r="E534" t="str">
            <v>del_str</v>
          </cell>
          <cell r="F534">
            <v>2</v>
          </cell>
          <cell r="G534" t="str">
            <v/>
          </cell>
        </row>
        <row r="535">
          <cell r="A535" t="str">
            <v>Период выплаты процентов</v>
          </cell>
          <cell r="B535" t="str">
            <v>Period of interest payments</v>
          </cell>
          <cell r="D535" t="str">
            <v>дни</v>
          </cell>
          <cell r="E535" t="str">
            <v>int_int,del_str</v>
          </cell>
          <cell r="F535">
            <v>30</v>
          </cell>
          <cell r="G535" t="str">
            <v/>
          </cell>
        </row>
        <row r="536">
          <cell r="A536" t="str">
            <v>Отсрочка выплаты процентов</v>
          </cell>
          <cell r="B536" t="str">
            <v>Delay of payment of interests</v>
          </cell>
          <cell r="D536" t="str">
            <v>год</v>
          </cell>
          <cell r="E536" t="str">
            <v>,del_str</v>
          </cell>
          <cell r="F536">
            <v>0</v>
          </cell>
        </row>
        <row r="537">
          <cell r="A537" t="str">
            <v>Процентная ставка</v>
          </cell>
          <cell r="B537" t="str">
            <v>Interest rate</v>
          </cell>
        </row>
        <row r="538">
          <cell r="A538" t="str">
            <v> - номинальная годовая банковская</v>
          </cell>
          <cell r="B538" t="str">
            <v> - nominal per year</v>
          </cell>
          <cell r="D538" t="str">
            <v>%</v>
          </cell>
          <cell r="E538" t="str">
            <v>,on_end</v>
          </cell>
          <cell r="F538">
            <v>0.15</v>
          </cell>
          <cell r="G538">
            <v>0.15</v>
          </cell>
          <cell r="H538">
            <v>0.15</v>
          </cell>
          <cell r="I538">
            <v>0.15</v>
          </cell>
          <cell r="J538">
            <v>0.15</v>
          </cell>
          <cell r="K538">
            <v>0.15</v>
          </cell>
          <cell r="L538">
            <v>0.15</v>
          </cell>
          <cell r="M538">
            <v>0.15</v>
          </cell>
          <cell r="N538">
            <v>0.15</v>
          </cell>
          <cell r="O538">
            <v>0.15</v>
          </cell>
          <cell r="P538">
            <v>0.15</v>
          </cell>
          <cell r="Q538">
            <v>0.15</v>
          </cell>
          <cell r="R538">
            <v>0.15</v>
          </cell>
          <cell r="S538">
            <v>0.15</v>
          </cell>
          <cell r="T538">
            <v>0.15</v>
          </cell>
          <cell r="U538">
            <v>0.15</v>
          </cell>
          <cell r="V538">
            <v>0.15</v>
          </cell>
          <cell r="W538">
            <v>0.15</v>
          </cell>
          <cell r="X538">
            <v>0.15</v>
          </cell>
          <cell r="Y538">
            <v>0.15</v>
          </cell>
          <cell r="Z538">
            <v>0.15</v>
          </cell>
          <cell r="AA538">
            <v>0.15</v>
          </cell>
          <cell r="AB538">
            <v>0.15</v>
          </cell>
          <cell r="AC538">
            <v>0.15</v>
          </cell>
          <cell r="AD538">
            <v>0.15</v>
          </cell>
          <cell r="AE538">
            <v>0.15</v>
          </cell>
          <cell r="AF538">
            <v>0.15</v>
          </cell>
          <cell r="AG538">
            <v>0.15</v>
          </cell>
          <cell r="AH538">
            <v>0.15</v>
          </cell>
          <cell r="AI538">
            <v>0.15</v>
          </cell>
          <cell r="AJ538">
            <v>0.15</v>
          </cell>
        </row>
        <row r="539">
          <cell r="A539" t="str">
            <v> - реальная годовая банковская</v>
          </cell>
          <cell r="B539" t="str">
            <v> - real per year</v>
          </cell>
          <cell r="D539" t="str">
            <v>%</v>
          </cell>
          <cell r="E539" t="str">
            <v>,on_end,del_str</v>
          </cell>
          <cell r="F539">
            <v>0.15</v>
          </cell>
          <cell r="G539">
            <v>0.15</v>
          </cell>
          <cell r="H539">
            <v>0.15</v>
          </cell>
          <cell r="I539">
            <v>0.15</v>
          </cell>
          <cell r="J539">
            <v>0.15</v>
          </cell>
          <cell r="K539">
            <v>0.15</v>
          </cell>
          <cell r="L539">
            <v>0.15</v>
          </cell>
          <cell r="M539">
            <v>0.15</v>
          </cell>
          <cell r="N539">
            <v>0.15</v>
          </cell>
          <cell r="O539">
            <v>0.15</v>
          </cell>
          <cell r="P539">
            <v>0.15</v>
          </cell>
          <cell r="Q539">
            <v>0.15</v>
          </cell>
          <cell r="R539">
            <v>0.15</v>
          </cell>
          <cell r="S539">
            <v>0.15</v>
          </cell>
          <cell r="T539">
            <v>0.15</v>
          </cell>
          <cell r="U539">
            <v>0.15</v>
          </cell>
          <cell r="V539">
            <v>0.15</v>
          </cell>
          <cell r="W539">
            <v>0.15</v>
          </cell>
          <cell r="X539">
            <v>0.15</v>
          </cell>
          <cell r="Y539">
            <v>0.15</v>
          </cell>
          <cell r="Z539">
            <v>0.15</v>
          </cell>
          <cell r="AA539">
            <v>0.15</v>
          </cell>
          <cell r="AB539">
            <v>0.15</v>
          </cell>
          <cell r="AC539">
            <v>0.15</v>
          </cell>
          <cell r="AD539">
            <v>0.15</v>
          </cell>
          <cell r="AE539">
            <v>0.15</v>
          </cell>
          <cell r="AF539">
            <v>0.15</v>
          </cell>
          <cell r="AG539">
            <v>0.15</v>
          </cell>
          <cell r="AH539">
            <v>0.15</v>
          </cell>
          <cell r="AI539">
            <v>0.15</v>
          </cell>
          <cell r="AJ539">
            <v>0.15</v>
          </cell>
        </row>
        <row r="540">
          <cell r="A540" t="str">
            <v> - расчетная на интервал планирования</v>
          </cell>
          <cell r="B540" t="str">
            <v> - used in calculations per PI (simple interest)</v>
          </cell>
          <cell r="D540" t="str">
            <v>%</v>
          </cell>
          <cell r="E540" t="str">
            <v>rate_paid,on_end,del_str</v>
          </cell>
          <cell r="F540">
            <v>0.15</v>
          </cell>
          <cell r="G540">
            <v>0.15</v>
          </cell>
          <cell r="H540">
            <v>0.15</v>
          </cell>
          <cell r="I540">
            <v>0.15</v>
          </cell>
          <cell r="J540">
            <v>0.15</v>
          </cell>
          <cell r="K540">
            <v>0.15</v>
          </cell>
          <cell r="L540">
            <v>0.15</v>
          </cell>
          <cell r="M540">
            <v>0.15</v>
          </cell>
          <cell r="N540">
            <v>0.15</v>
          </cell>
          <cell r="O540">
            <v>0.15</v>
          </cell>
          <cell r="P540">
            <v>0.15</v>
          </cell>
          <cell r="Q540">
            <v>0.15</v>
          </cell>
          <cell r="R540">
            <v>0.15</v>
          </cell>
          <cell r="S540">
            <v>0.15</v>
          </cell>
          <cell r="T540">
            <v>0.15</v>
          </cell>
          <cell r="U540">
            <v>0.15</v>
          </cell>
          <cell r="V540">
            <v>0.15</v>
          </cell>
          <cell r="W540">
            <v>0.15</v>
          </cell>
          <cell r="X540">
            <v>0.15</v>
          </cell>
          <cell r="Y540">
            <v>0.15</v>
          </cell>
          <cell r="Z540">
            <v>0.15</v>
          </cell>
          <cell r="AA540">
            <v>0.15</v>
          </cell>
          <cell r="AB540">
            <v>0.15</v>
          </cell>
          <cell r="AC540">
            <v>0.15</v>
          </cell>
          <cell r="AD540">
            <v>0.15</v>
          </cell>
          <cell r="AE540">
            <v>0.15</v>
          </cell>
          <cell r="AF540">
            <v>0.15</v>
          </cell>
          <cell r="AG540">
            <v>0.15</v>
          </cell>
          <cell r="AH540">
            <v>0.15</v>
          </cell>
          <cell r="AI540">
            <v>0.15</v>
          </cell>
          <cell r="AJ540">
            <v>0.15</v>
          </cell>
        </row>
        <row r="541">
          <cell r="A541" t="str">
            <v>ControlPoint1</v>
          </cell>
        </row>
        <row r="542">
          <cell r="A542" t="str">
            <v>Увеличение задолженности (+)</v>
          </cell>
          <cell r="B542" t="str">
            <v>Increase of principal (additional sums) (+)</v>
          </cell>
          <cell r="D542" t="str">
            <v>тыс.долл.</v>
          </cell>
          <cell r="E542" t="str">
            <v>incrdebt2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 t="str">
            <v/>
          </cell>
          <cell r="AL542">
            <v>0</v>
          </cell>
        </row>
        <row r="543">
          <cell r="A543" t="str">
            <v>Погашение задолженности (-)</v>
          </cell>
          <cell r="B543" t="str">
            <v>Disbursement of principal (-)</v>
          </cell>
          <cell r="D543" t="str">
            <v>тыс.долл.</v>
          </cell>
          <cell r="E543" t="str">
            <v>decrdebt2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 t="str">
            <v/>
          </cell>
          <cell r="AL543">
            <v>0</v>
          </cell>
        </row>
        <row r="544">
          <cell r="A544" t="str">
            <v>Задолженность на конец текущего ИП</v>
          </cell>
          <cell r="B544" t="str">
            <v>Outstanding debt for the end of the current PI</v>
          </cell>
          <cell r="D544" t="str">
            <v>тыс.долл.</v>
          </cell>
          <cell r="E544" t="str">
            <v>debt2,on_end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L544">
            <v>0</v>
          </cell>
        </row>
        <row r="545">
          <cell r="A545" t="str">
            <v>Выплаченные проценты</v>
          </cell>
          <cell r="B545" t="str">
            <v>Interest paid</v>
          </cell>
          <cell r="D545" t="str">
            <v>тыс.долл.</v>
          </cell>
          <cell r="E545" t="str">
            <v>int2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 t="str">
            <v/>
          </cell>
          <cell r="AL545">
            <v>0</v>
          </cell>
        </row>
        <row r="546">
          <cell r="A546" t="str">
            <v>Интервал,где впервые взят  кредит</v>
          </cell>
          <cell r="B546" t="str">
            <v>PI when first loan was taken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L546">
            <v>0</v>
          </cell>
        </row>
        <row r="547">
          <cell r="A547" t="str">
            <v>Проценты к уплате, нарастающим итогом</v>
          </cell>
          <cell r="B547" t="str">
            <v>Accumulated calculated interest</v>
          </cell>
          <cell r="D547" t="str">
            <v>тыс.долл.</v>
          </cell>
          <cell r="E547" t="str">
            <v>,on_end,del_str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</row>
        <row r="548">
          <cell r="A548" t="str">
            <v>Сумма невыплаченных процентов</v>
          </cell>
          <cell r="B548" t="str">
            <v>Deferred interest payments (current liabilities)</v>
          </cell>
          <cell r="D548" t="str">
            <v>тыс.долл.</v>
          </cell>
          <cell r="E548" t="str">
            <v>npaid2,del_str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</row>
        <row r="549">
          <cell r="A549" t="str">
            <v>Сумма процентов, относимая на себестоимость</v>
          </cell>
          <cell r="B549" t="str">
            <v>Interest included in tax-free costs</v>
          </cell>
          <cell r="D549" t="str">
            <v>тыс.долл.</v>
          </cell>
          <cell r="E549" t="str">
            <v>intax2,del_str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L549">
            <v>0</v>
          </cell>
        </row>
        <row r="550">
          <cell r="A550" t="str">
            <v>Выплаты по инвестиционным кредитам</v>
          </cell>
          <cell r="B550" t="str">
            <v>Principal and interest repayment (for investments purpose loans)</v>
          </cell>
          <cell r="D550" t="str">
            <v>тыс.долл.</v>
          </cell>
          <cell r="E550" t="str">
            <v>invdebt2,del_str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L550">
            <v>0</v>
          </cell>
        </row>
        <row r="552">
          <cell r="A552" t="str">
            <v> = Свободные денежные средства</v>
          </cell>
          <cell r="B552" t="str">
            <v>Accumulated cash balance</v>
          </cell>
          <cell r="D552" t="str">
            <v>тыс.руб.</v>
          </cell>
          <cell r="E552" t="str">
            <v>on_end</v>
          </cell>
          <cell r="F552">
            <v>539186.756392189</v>
          </cell>
          <cell r="G552">
            <v>397842.45386668894</v>
          </cell>
          <cell r="H552">
            <v>423462.4166060084</v>
          </cell>
          <cell r="I552">
            <v>465438.57740418136</v>
          </cell>
          <cell r="J552">
            <v>517355.9552859237</v>
          </cell>
          <cell r="K552">
            <v>579902.4133031658</v>
          </cell>
          <cell r="L552">
            <v>653100.6400798608</v>
          </cell>
          <cell r="M552">
            <v>737101.975767211</v>
          </cell>
          <cell r="N552">
            <v>831322.3950142442</v>
          </cell>
          <cell r="O552">
            <v>935741.4445802395</v>
          </cell>
          <cell r="P552">
            <v>1050337.4015196932</v>
          </cell>
          <cell r="Q552">
            <v>1175054.2803843566</v>
          </cell>
          <cell r="R552">
            <v>1310048.662326383</v>
          </cell>
          <cell r="S552">
            <v>1455511.810713973</v>
          </cell>
          <cell r="T552">
            <v>1611419.017473238</v>
          </cell>
          <cell r="U552">
            <v>1777977.7156086788</v>
          </cell>
          <cell r="V552">
            <v>1945691.9301778702</v>
          </cell>
          <cell r="W552">
            <v>2112553.0445069736</v>
          </cell>
          <cell r="X552">
            <v>2278536.075527608</v>
          </cell>
          <cell r="Y552">
            <v>2443612.6797230067</v>
          </cell>
          <cell r="Z552">
            <v>2607753.6632708996</v>
          </cell>
          <cell r="AA552">
            <v>2770928.956534349</v>
          </cell>
          <cell r="AB552">
            <v>2933107.5877873083</v>
          </cell>
          <cell r="AC552">
            <v>3094257.6561519504</v>
          </cell>
          <cell r="AD552">
            <v>3254346.303724113</v>
          </cell>
          <cell r="AE552">
            <v>3413339.6868625088</v>
          </cell>
          <cell r="AF552">
            <v>3571202.946616612</v>
          </cell>
          <cell r="AG552">
            <v>3727900.178267381</v>
          </cell>
          <cell r="AH552">
            <v>3883394.399954203</v>
          </cell>
          <cell r="AI552">
            <v>4036722.5123005873</v>
          </cell>
          <cell r="AJ552">
            <v>4188555.665001634</v>
          </cell>
          <cell r="AK552">
            <v>0</v>
          </cell>
          <cell r="AL552">
            <v>4188555.665001634</v>
          </cell>
        </row>
        <row r="553">
          <cell r="A553" t="str">
            <v> - в местной валюте</v>
          </cell>
          <cell r="B553" t="str">
            <v> - in local currency</v>
          </cell>
          <cell r="D553" t="str">
            <v>тыс.руб.</v>
          </cell>
          <cell r="E553" t="str">
            <v>on_end</v>
          </cell>
          <cell r="F553">
            <v>539186.756392189</v>
          </cell>
          <cell r="G553">
            <v>397842.45386668894</v>
          </cell>
          <cell r="H553">
            <v>423462.4166060084</v>
          </cell>
          <cell r="I553">
            <v>465438.57740418136</v>
          </cell>
          <cell r="J553">
            <v>517355.9552859237</v>
          </cell>
          <cell r="K553">
            <v>579902.4133031658</v>
          </cell>
          <cell r="L553">
            <v>653100.6400798608</v>
          </cell>
          <cell r="M553">
            <v>737101.975767211</v>
          </cell>
          <cell r="N553">
            <v>831322.3950142442</v>
          </cell>
          <cell r="O553">
            <v>935741.4445802395</v>
          </cell>
          <cell r="P553">
            <v>1050337.4015196932</v>
          </cell>
          <cell r="Q553">
            <v>1175054.2803843566</v>
          </cell>
          <cell r="R553">
            <v>1310048.662326383</v>
          </cell>
          <cell r="S553">
            <v>1455511.810713973</v>
          </cell>
          <cell r="T553">
            <v>1611419.017473238</v>
          </cell>
          <cell r="U553">
            <v>1777977.7156086788</v>
          </cell>
          <cell r="V553">
            <v>1945691.9301778702</v>
          </cell>
          <cell r="W553">
            <v>2112553.0445069736</v>
          </cell>
          <cell r="X553">
            <v>2278536.075527608</v>
          </cell>
          <cell r="Y553">
            <v>2443612.6797230067</v>
          </cell>
          <cell r="Z553">
            <v>2607753.6632708996</v>
          </cell>
          <cell r="AA553">
            <v>2770928.956534349</v>
          </cell>
          <cell r="AB553">
            <v>2933107.5877873083</v>
          </cell>
          <cell r="AC553">
            <v>3094257.6561519504</v>
          </cell>
          <cell r="AD553">
            <v>3254346.303724113</v>
          </cell>
          <cell r="AE553">
            <v>3413339.6868625088</v>
          </cell>
          <cell r="AF553">
            <v>3571202.946616612</v>
          </cell>
          <cell r="AG553">
            <v>3727900.178267381</v>
          </cell>
          <cell r="AH553">
            <v>3883394.399954203</v>
          </cell>
          <cell r="AI553">
            <v>4036722.5123005873</v>
          </cell>
          <cell r="AJ553">
            <v>4188555.665001634</v>
          </cell>
          <cell r="AK553">
            <v>0</v>
          </cell>
          <cell r="AL553">
            <v>4188555.665001634</v>
          </cell>
        </row>
        <row r="554">
          <cell r="A554" t="str">
            <v> - в иностранной валюте</v>
          </cell>
          <cell r="B554" t="str">
            <v> - in foreign currency</v>
          </cell>
          <cell r="D554" t="str">
            <v>тыс.долл.</v>
          </cell>
          <cell r="E554" t="str">
            <v>on_end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</row>
        <row r="558">
          <cell r="A558" t="str">
            <v>Цт=максимальные Постоянные цены</v>
          </cell>
          <cell r="B558" t="str">
            <v>Цт=максимальные Постоянные цены</v>
          </cell>
          <cell r="AL558" t="str">
            <v>АЛЬТ-Инвест™ 3.0</v>
          </cell>
        </row>
        <row r="559">
          <cell r="A559" t="str">
            <v>СВОДНАЯ ВЕДОМОСТЬ ВЫПЛАТ ПО КРЕДИТАМ</v>
          </cell>
          <cell r="B559" t="str">
            <v>DEBT SERVICE SUMMARY</v>
          </cell>
          <cell r="F559" t="str">
            <v>"0"</v>
          </cell>
          <cell r="G559" t="str">
            <v>1 год</v>
          </cell>
          <cell r="H559" t="str">
            <v>2 год</v>
          </cell>
          <cell r="I559" t="str">
            <v>3 год</v>
          </cell>
          <cell r="J559" t="str">
            <v>4 год</v>
          </cell>
          <cell r="K559" t="str">
            <v>5 год</v>
          </cell>
          <cell r="L559" t="str">
            <v>6 год</v>
          </cell>
          <cell r="M559" t="str">
            <v>7 год</v>
          </cell>
          <cell r="N559" t="str">
            <v>8 год</v>
          </cell>
          <cell r="O559" t="str">
            <v>9 год</v>
          </cell>
          <cell r="P559" t="str">
            <v>10 год</v>
          </cell>
          <cell r="Q559" t="str">
            <v>11 год</v>
          </cell>
          <cell r="R559" t="str">
            <v>12 год</v>
          </cell>
          <cell r="S559" t="str">
            <v>13 год</v>
          </cell>
          <cell r="T559" t="str">
            <v>14 год</v>
          </cell>
          <cell r="U559" t="str">
            <v>15 год</v>
          </cell>
          <cell r="V559" t="str">
            <v>16 год</v>
          </cell>
          <cell r="W559" t="str">
            <v>17 год</v>
          </cell>
          <cell r="X559" t="str">
            <v>18 год</v>
          </cell>
          <cell r="Y559" t="str">
            <v>19 год</v>
          </cell>
          <cell r="Z559" t="str">
            <v>20 год</v>
          </cell>
          <cell r="AA559" t="str">
            <v>21 год</v>
          </cell>
          <cell r="AB559" t="str">
            <v>22 год</v>
          </cell>
          <cell r="AC559" t="str">
            <v>23 год</v>
          </cell>
          <cell r="AD559" t="str">
            <v>24 год</v>
          </cell>
          <cell r="AE559" t="str">
            <v>25 год</v>
          </cell>
          <cell r="AF559" t="str">
            <v>26 год</v>
          </cell>
          <cell r="AG559" t="str">
            <v>27 год</v>
          </cell>
          <cell r="AH559" t="str">
            <v>28 год</v>
          </cell>
          <cell r="AI559" t="str">
            <v>29 год</v>
          </cell>
          <cell r="AJ559" t="str">
            <v>30 год</v>
          </cell>
          <cell r="AL559" t="str">
            <v>ВСЕГО</v>
          </cell>
        </row>
        <row r="561">
          <cell r="A561" t="str">
            <v>Привлечение кредитов</v>
          </cell>
          <cell r="B561" t="str">
            <v>Increase of principal</v>
          </cell>
          <cell r="D561" t="str">
            <v>тыс.руб.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L561">
            <v>0</v>
          </cell>
        </row>
        <row r="562">
          <cell r="A562" t="str">
            <v> - в местной валюте</v>
          </cell>
          <cell r="B562" t="str">
            <v> - in local currency</v>
          </cell>
          <cell r="D562" t="str">
            <v>тыс.руб.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L562">
            <v>0</v>
          </cell>
        </row>
        <row r="563">
          <cell r="A563" t="str">
            <v> - в иностранной валюте</v>
          </cell>
          <cell r="B563" t="str">
            <v> - in foreign currency</v>
          </cell>
          <cell r="D563" t="str">
            <v>тыс.долл.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L563">
            <v>0</v>
          </cell>
        </row>
        <row r="565">
          <cell r="A565" t="str">
            <v>Погашение задолженности</v>
          </cell>
          <cell r="B565" t="str">
            <v>Disbursement of principal</v>
          </cell>
          <cell r="D565" t="str">
            <v>тыс.руб.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L565">
            <v>0</v>
          </cell>
        </row>
        <row r="566">
          <cell r="A566" t="str">
            <v> - в местной валюте</v>
          </cell>
          <cell r="B566" t="str">
            <v> - in local currency</v>
          </cell>
          <cell r="D566" t="str">
            <v>тыс.руб.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L566">
            <v>0</v>
          </cell>
        </row>
        <row r="567">
          <cell r="A567" t="str">
            <v> - в иностранной валюте</v>
          </cell>
          <cell r="B567" t="str">
            <v> - in foreign currency</v>
          </cell>
          <cell r="D567" t="str">
            <v>тыс.долл.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L567">
            <v>0</v>
          </cell>
        </row>
        <row r="569">
          <cell r="A569" t="str">
            <v>Выплаченные проценты</v>
          </cell>
          <cell r="B569" t="str">
            <v>Interest paid</v>
          </cell>
          <cell r="D569" t="str">
            <v>тыс.руб.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L569">
            <v>0</v>
          </cell>
        </row>
        <row r="570">
          <cell r="A570" t="str">
            <v> - в местной валюте</v>
          </cell>
          <cell r="B570" t="str">
            <v> - in local currency</v>
          </cell>
          <cell r="D570" t="str">
            <v>тыс.руб.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L570">
            <v>0</v>
          </cell>
        </row>
        <row r="571">
          <cell r="A571" t="str">
            <v>    - включаемые в себестоимость</v>
          </cell>
          <cell r="B571" t="str">
            <v> - tax-free interest</v>
          </cell>
          <cell r="D571" t="str">
            <v>тыс.руб.</v>
          </cell>
          <cell r="E571" t="str">
            <v>,del_str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L571">
            <v>0</v>
          </cell>
        </row>
        <row r="572">
          <cell r="A572" t="str">
            <v>    - не включаемые в себестоимость</v>
          </cell>
          <cell r="B572" t="str">
            <v> - taxed payments</v>
          </cell>
          <cell r="D572" t="str">
            <v>тыс.руб.</v>
          </cell>
          <cell r="E572" t="str">
            <v>,del_str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L572">
            <v>0</v>
          </cell>
        </row>
        <row r="573">
          <cell r="A573" t="str">
            <v> - в иностранной валюте</v>
          </cell>
          <cell r="B573" t="str">
            <v> - in foreign currency</v>
          </cell>
          <cell r="D573" t="str">
            <v>тыс.долл.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L573">
            <v>0</v>
          </cell>
        </row>
        <row r="574">
          <cell r="A574" t="str">
            <v>    - включаемые в себестоимость</v>
          </cell>
          <cell r="B574" t="str">
            <v> - tax-free interest</v>
          </cell>
          <cell r="D574" t="str">
            <v>тыс.долл.</v>
          </cell>
          <cell r="E574" t="str">
            <v>,del_str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L574">
            <v>0</v>
          </cell>
        </row>
        <row r="575">
          <cell r="A575" t="str">
            <v>    - не включаемые в себестоимость</v>
          </cell>
          <cell r="B575" t="str">
            <v> - taxed payments</v>
          </cell>
          <cell r="D575" t="str">
            <v>тыс.долл.</v>
          </cell>
          <cell r="E575" t="str">
            <v>,del_str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L575">
            <v>0</v>
          </cell>
        </row>
        <row r="577">
          <cell r="A577" t="str">
            <v>Задолженность на конец текущего ИП</v>
          </cell>
          <cell r="B577" t="str">
            <v>Outstanding debt for the end of the current PI</v>
          </cell>
          <cell r="D577" t="str">
            <v>тыс.руб.</v>
          </cell>
          <cell r="E577" t="str">
            <v>on_end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L577">
            <v>0</v>
          </cell>
        </row>
        <row r="578">
          <cell r="A578" t="str">
            <v> - в местной валюте</v>
          </cell>
          <cell r="B578" t="str">
            <v> - in local currency</v>
          </cell>
          <cell r="D578" t="str">
            <v>тыс.руб.</v>
          </cell>
          <cell r="E578" t="str">
            <v>on_end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L578">
            <v>0</v>
          </cell>
        </row>
        <row r="579">
          <cell r="A579" t="str">
            <v> - в иностранной валюте</v>
          </cell>
          <cell r="B579" t="str">
            <v> - in foreign currency</v>
          </cell>
          <cell r="D579" t="str">
            <v>тыс.долл.</v>
          </cell>
          <cell r="E579" t="str">
            <v>on_end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L579">
            <v>0</v>
          </cell>
        </row>
        <row r="580">
          <cell r="E580" t="str">
            <v>del_str</v>
          </cell>
        </row>
        <row r="581">
          <cell r="A581" t="str">
            <v>Выплаты по инвестиционным кредитам</v>
          </cell>
          <cell r="B581" t="str">
            <v>Repayment of principal and interest (for investments goal loans)</v>
          </cell>
          <cell r="D581" t="str">
            <v>тыс.руб.</v>
          </cell>
          <cell r="E581" t="str">
            <v>del_str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L581">
            <v>0</v>
          </cell>
        </row>
        <row r="582">
          <cell r="A582" t="str">
            <v> - в местной валюте</v>
          </cell>
          <cell r="B582" t="str">
            <v> - in local currency</v>
          </cell>
          <cell r="D582" t="str">
            <v>тыс.руб.</v>
          </cell>
          <cell r="E582" t="str">
            <v>del_str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L582">
            <v>0</v>
          </cell>
        </row>
        <row r="583">
          <cell r="A583" t="str">
            <v> - в иностранной валюте</v>
          </cell>
          <cell r="B583" t="str">
            <v> - in foreign currency</v>
          </cell>
          <cell r="D583" t="str">
            <v>тыс.долл.</v>
          </cell>
          <cell r="E583" t="str">
            <v>del_str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L583">
            <v>0</v>
          </cell>
        </row>
        <row r="584">
          <cell r="A584" t="str">
            <v>Увеличение задолженности за счет капитализации процентов</v>
          </cell>
          <cell r="B584" t="str">
            <v>Deferred interest (current liabilities)</v>
          </cell>
          <cell r="D584" t="str">
            <v>тыс.руб.</v>
          </cell>
          <cell r="E584" t="str">
            <v>del_str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L584">
            <v>0</v>
          </cell>
        </row>
        <row r="585">
          <cell r="A585" t="str">
            <v> - в местной валюте</v>
          </cell>
          <cell r="B585" t="str">
            <v> - in local currency</v>
          </cell>
          <cell r="D585" t="str">
            <v>тыс.руб.</v>
          </cell>
          <cell r="E585" t="str">
            <v>del_str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L585">
            <v>0</v>
          </cell>
        </row>
        <row r="586">
          <cell r="A586" t="str">
            <v> - в иностранной валюте</v>
          </cell>
          <cell r="B586" t="str">
            <v> - in foreign currency</v>
          </cell>
          <cell r="D586" t="str">
            <v>тыс.долл.</v>
          </cell>
          <cell r="E586" t="str">
            <v>del_str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L586">
            <v>0</v>
          </cell>
        </row>
        <row r="590">
          <cell r="A590" t="str">
            <v>Цт=максимальные Постоянные цены</v>
          </cell>
          <cell r="B590" t="str">
            <v>Цт=максимальные Постоянные цены</v>
          </cell>
          <cell r="AL590" t="str">
            <v>АЛЬТ-Инвест™ 3.0</v>
          </cell>
        </row>
        <row r="591">
          <cell r="A591" t="str">
            <v>НАЛОГИ И ПЛАТЕЖИ ВО ВНЕБЮДЖЕТНЫЕ ФОНДЫ</v>
          </cell>
          <cell r="B591" t="str">
            <v>TAXES &amp; OTHER SIMILAR PAYMENTS</v>
          </cell>
          <cell r="F591" t="str">
            <v>"0"</v>
          </cell>
          <cell r="G591" t="str">
            <v>1 год</v>
          </cell>
          <cell r="H591" t="str">
            <v>2 год</v>
          </cell>
          <cell r="I591" t="str">
            <v>3 год</v>
          </cell>
          <cell r="J591" t="str">
            <v>4 год</v>
          </cell>
          <cell r="K591" t="str">
            <v>5 год</v>
          </cell>
          <cell r="L591" t="str">
            <v>6 год</v>
          </cell>
          <cell r="M591" t="str">
            <v>7 год</v>
          </cell>
          <cell r="N591" t="str">
            <v>8 год</v>
          </cell>
          <cell r="O591" t="str">
            <v>9 год</v>
          </cell>
          <cell r="P591" t="str">
            <v>10 год</v>
          </cell>
          <cell r="Q591" t="str">
            <v>11 год</v>
          </cell>
          <cell r="R591" t="str">
            <v>12 год</v>
          </cell>
          <cell r="S591" t="str">
            <v>13 год</v>
          </cell>
          <cell r="T591" t="str">
            <v>14 год</v>
          </cell>
          <cell r="U591" t="str">
            <v>15 год</v>
          </cell>
          <cell r="V591" t="str">
            <v>16 год</v>
          </cell>
          <cell r="W591" t="str">
            <v>17 год</v>
          </cell>
          <cell r="X591" t="str">
            <v>18 год</v>
          </cell>
          <cell r="Y591" t="str">
            <v>19 год</v>
          </cell>
          <cell r="Z591" t="str">
            <v>20 год</v>
          </cell>
          <cell r="AA591" t="str">
            <v>21 год</v>
          </cell>
          <cell r="AB591" t="str">
            <v>22 год</v>
          </cell>
          <cell r="AC591" t="str">
            <v>23 год</v>
          </cell>
          <cell r="AD591" t="str">
            <v>24 год</v>
          </cell>
          <cell r="AE591" t="str">
            <v>25 год</v>
          </cell>
          <cell r="AF591" t="str">
            <v>26 год</v>
          </cell>
          <cell r="AG591" t="str">
            <v>27 год</v>
          </cell>
          <cell r="AH591" t="str">
            <v>28 год</v>
          </cell>
          <cell r="AI591" t="str">
            <v>29 год</v>
          </cell>
          <cell r="AJ591" t="str">
            <v>30 год</v>
          </cell>
          <cell r="AL591" t="str">
            <v>ВСЕГО</v>
          </cell>
        </row>
        <row r="593">
          <cell r="A593" t="str">
            <v>Минимальный размер оплаты труда (МРОТ) в месяц</v>
          </cell>
          <cell r="B593" t="str">
            <v>Minimal monthly wage/salary</v>
          </cell>
          <cell r="D593" t="str">
            <v>тыс.руб.</v>
          </cell>
          <cell r="E593" t="str">
            <v>,on_end</v>
          </cell>
          <cell r="F593">
            <v>0.010714285714285714</v>
          </cell>
          <cell r="G593">
            <v>0.010714285714285714</v>
          </cell>
          <cell r="H593">
            <v>0.010714285714285714</v>
          </cell>
          <cell r="I593">
            <v>0.010714285714285714</v>
          </cell>
          <cell r="J593">
            <v>0.010714285714285714</v>
          </cell>
          <cell r="K593">
            <v>0.010714285714285714</v>
          </cell>
          <cell r="L593">
            <v>0.010714285714285714</v>
          </cell>
          <cell r="M593">
            <v>0.010714285714285714</v>
          </cell>
          <cell r="N593">
            <v>0.010714285714285714</v>
          </cell>
          <cell r="O593">
            <v>0.010714285714285714</v>
          </cell>
          <cell r="P593">
            <v>0.010714285714285714</v>
          </cell>
          <cell r="Q593">
            <v>0.010714285714285714</v>
          </cell>
          <cell r="R593">
            <v>0.010714285714285714</v>
          </cell>
          <cell r="S593">
            <v>0.010714285714285714</v>
          </cell>
          <cell r="T593">
            <v>0.010714285714285714</v>
          </cell>
          <cell r="U593">
            <v>0.010714285714285714</v>
          </cell>
          <cell r="V593">
            <v>0.010714285714285714</v>
          </cell>
          <cell r="W593">
            <v>0.010714285714285714</v>
          </cell>
          <cell r="X593">
            <v>0.010714285714285714</v>
          </cell>
          <cell r="Y593">
            <v>0.010714285714285714</v>
          </cell>
          <cell r="Z593">
            <v>0.010714285714285714</v>
          </cell>
          <cell r="AA593">
            <v>0.010714285714285714</v>
          </cell>
          <cell r="AB593">
            <v>0.010714285714285714</v>
          </cell>
          <cell r="AC593">
            <v>0.010714285714285714</v>
          </cell>
          <cell r="AD593">
            <v>0.010714285714285714</v>
          </cell>
          <cell r="AE593">
            <v>0.010714285714285714</v>
          </cell>
          <cell r="AF593">
            <v>0.010714285714285714</v>
          </cell>
          <cell r="AG593">
            <v>0.010714285714285714</v>
          </cell>
          <cell r="AH593">
            <v>0.010714285714285714</v>
          </cell>
          <cell r="AI593">
            <v>0.010714285714285714</v>
          </cell>
          <cell r="AJ593">
            <v>0.010714285714285714</v>
          </cell>
        </row>
        <row r="594">
          <cell r="A594" t="str">
            <v>Минимальный фонд оплаты труда (МФОТ)</v>
          </cell>
          <cell r="B594" t="str">
            <v>Minimal wage/salary per interval</v>
          </cell>
          <cell r="D594" t="str">
            <v>тыс.руб.</v>
          </cell>
          <cell r="E594" t="str">
            <v>,on_end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6">
          <cell r="A596" t="str">
            <v>1. НАЛОГ НА ДОБАВЛЕННУЮ СТОИМОСТЬ (НДС)</v>
          </cell>
          <cell r="B596" t="str">
            <v>1. VALUE ADDED TAX (VAT)</v>
          </cell>
        </row>
        <row r="597">
          <cell r="A597" t="str">
            <v> - ставка</v>
          </cell>
          <cell r="B597" t="str">
            <v> - tax rate</v>
          </cell>
          <cell r="D597" t="str">
            <v>%</v>
          </cell>
          <cell r="F597">
            <v>0.18</v>
          </cell>
        </row>
        <row r="598">
          <cell r="A598" t="str">
            <v> - период уплаты</v>
          </cell>
          <cell r="B598" t="str">
            <v> - payment period</v>
          </cell>
          <cell r="D598" t="str">
            <v>дни</v>
          </cell>
          <cell r="F598">
            <v>30</v>
          </cell>
        </row>
        <row r="599">
          <cell r="A599" t="str">
            <v>НДС по текущей деятельности</v>
          </cell>
          <cell r="B599" t="str">
            <v>VAT on current activity</v>
          </cell>
          <cell r="E599" t="str">
            <v>del_str</v>
          </cell>
        </row>
        <row r="600">
          <cell r="A600" t="str">
            <v> - полученный</v>
          </cell>
          <cell r="B600" t="str">
            <v> - obtained</v>
          </cell>
          <cell r="D600" t="str">
            <v>тыс.руб.</v>
          </cell>
          <cell r="E600" t="str">
            <v>del_str</v>
          </cell>
          <cell r="F600">
            <v>0</v>
          </cell>
          <cell r="G600">
            <v>0</v>
          </cell>
          <cell r="H600">
            <v>12715.610687999997</v>
          </cell>
          <cell r="I600">
            <v>14187.514175999999</v>
          </cell>
          <cell r="J600">
            <v>16667.944128000003</v>
          </cell>
          <cell r="K600">
            <v>19148.374079999998</v>
          </cell>
          <cell r="L600">
            <v>21628.804032</v>
          </cell>
          <cell r="M600">
            <v>23926.608921599996</v>
          </cell>
          <cell r="N600">
            <v>26224.4138112</v>
          </cell>
          <cell r="O600">
            <v>28522.2187008</v>
          </cell>
          <cell r="P600">
            <v>30820.023590400007</v>
          </cell>
          <cell r="Q600">
            <v>33117.82848</v>
          </cell>
          <cell r="R600">
            <v>35517.8488896</v>
          </cell>
          <cell r="S600">
            <v>37917.86929920001</v>
          </cell>
          <cell r="T600">
            <v>40317.88970880001</v>
          </cell>
          <cell r="U600">
            <v>42717.91011840001</v>
          </cell>
          <cell r="V600">
            <v>42717.91011840001</v>
          </cell>
          <cell r="W600">
            <v>42717.91011840001</v>
          </cell>
          <cell r="X600">
            <v>42717.91011840001</v>
          </cell>
          <cell r="Y600">
            <v>42717.91011840001</v>
          </cell>
          <cell r="Z600">
            <v>42717.91011840001</v>
          </cell>
          <cell r="AA600">
            <v>42717.91011840001</v>
          </cell>
          <cell r="AB600">
            <v>42717.91011840001</v>
          </cell>
          <cell r="AC600">
            <v>42717.91011840001</v>
          </cell>
          <cell r="AD600">
            <v>42717.91011840001</v>
          </cell>
          <cell r="AE600">
            <v>42717.91011840001</v>
          </cell>
          <cell r="AF600">
            <v>42717.91011840001</v>
          </cell>
          <cell r="AG600">
            <v>42717.91011840001</v>
          </cell>
          <cell r="AH600">
            <v>42717.91011840001</v>
          </cell>
          <cell r="AI600">
            <v>42717.91011840001</v>
          </cell>
          <cell r="AJ600">
            <v>42717.91011840001</v>
          </cell>
          <cell r="AL600">
            <v>1024199.5104000001</v>
          </cell>
        </row>
        <row r="601">
          <cell r="A601" t="str">
            <v> - уплаченный</v>
          </cell>
          <cell r="B601" t="str">
            <v> - paid</v>
          </cell>
          <cell r="D601" t="str">
            <v>тыс.руб.</v>
          </cell>
          <cell r="E601" t="str">
            <v>del_str</v>
          </cell>
          <cell r="F601">
            <v>0</v>
          </cell>
          <cell r="G601">
            <v>0</v>
          </cell>
          <cell r="H601">
            <v>19038.640936499996</v>
          </cell>
          <cell r="I601">
            <v>22204.993466699998</v>
          </cell>
          <cell r="J601">
            <v>25579.738917899995</v>
          </cell>
          <cell r="K601">
            <v>28889.2889523</v>
          </cell>
          <cell r="L601">
            <v>32202.0249867</v>
          </cell>
          <cell r="M601">
            <v>34504.53487218</v>
          </cell>
          <cell r="N601">
            <v>36824.3026785</v>
          </cell>
          <cell r="O601">
            <v>39148.09304558399</v>
          </cell>
          <cell r="P601">
            <v>41476.026650254906</v>
          </cell>
          <cell r="Q601">
            <v>43808.22778964036</v>
          </cell>
          <cell r="R601">
            <v>46519.100846521775</v>
          </cell>
          <cell r="S601">
            <v>49229.37425760183</v>
          </cell>
          <cell r="T601">
            <v>51944.31091908788</v>
          </cell>
          <cell r="U601">
            <v>54664.050728492126</v>
          </cell>
          <cell r="V601">
            <v>54798.42227533209</v>
          </cell>
          <cell r="W601">
            <v>54973.37325583845</v>
          </cell>
          <cell r="X601">
            <v>55153.57276576</v>
          </cell>
          <cell r="Y601">
            <v>55339.1782609792</v>
          </cell>
          <cell r="Z601">
            <v>55530.35192105498</v>
          </cell>
          <cell r="AA601">
            <v>55727.260790933025</v>
          </cell>
          <cell r="AB601">
            <v>55930.07692690742</v>
          </cell>
          <cell r="AC601">
            <v>56138.97754696105</v>
          </cell>
          <cell r="AD601">
            <v>56354.145185616275</v>
          </cell>
          <cell r="AE601">
            <v>56575.76785343116</v>
          </cell>
          <cell r="AF601">
            <v>56804.039201280495</v>
          </cell>
          <cell r="AG601">
            <v>57039.158689565316</v>
          </cell>
          <cell r="AH601">
            <v>57281.331762498674</v>
          </cell>
          <cell r="AI601">
            <v>57530.770027620034</v>
          </cell>
          <cell r="AJ601">
            <v>57787.69144069504</v>
          </cell>
          <cell r="AL601">
            <v>1368996.826952436</v>
          </cell>
        </row>
        <row r="602">
          <cell r="A602" t="str">
            <v> - к зачету</v>
          </cell>
          <cell r="B602" t="str">
            <v> - to offset</v>
          </cell>
          <cell r="D602" t="str">
            <v>тыс.руб.</v>
          </cell>
          <cell r="E602" t="str">
            <v>del_str</v>
          </cell>
          <cell r="F602">
            <v>0</v>
          </cell>
          <cell r="G602">
            <v>0</v>
          </cell>
          <cell r="H602">
            <v>19038.640936499996</v>
          </cell>
          <cell r="I602">
            <v>22204.993466699998</v>
          </cell>
          <cell r="J602">
            <v>25579.738917899995</v>
          </cell>
          <cell r="K602">
            <v>28889.2889523</v>
          </cell>
          <cell r="L602">
            <v>32202.0249867</v>
          </cell>
          <cell r="M602">
            <v>34504.53487218</v>
          </cell>
          <cell r="N602">
            <v>36824.3026785</v>
          </cell>
          <cell r="O602">
            <v>39148.09304558399</v>
          </cell>
          <cell r="P602">
            <v>41476.026650254906</v>
          </cell>
          <cell r="Q602">
            <v>43808.22778964036</v>
          </cell>
          <cell r="R602">
            <v>46519.100846521775</v>
          </cell>
          <cell r="S602">
            <v>49229.37425760183</v>
          </cell>
          <cell r="T602">
            <v>51944.31091908788</v>
          </cell>
          <cell r="U602">
            <v>54664.050728492126</v>
          </cell>
          <cell r="V602">
            <v>54798.42227533209</v>
          </cell>
          <cell r="W602">
            <v>54973.37325583845</v>
          </cell>
          <cell r="X602">
            <v>55153.57276576</v>
          </cell>
          <cell r="Y602">
            <v>55339.1782609792</v>
          </cell>
          <cell r="Z602">
            <v>55530.35192105498</v>
          </cell>
          <cell r="AA602">
            <v>55727.260790933025</v>
          </cell>
          <cell r="AB602">
            <v>55930.07692690742</v>
          </cell>
          <cell r="AC602">
            <v>56138.97754696105</v>
          </cell>
          <cell r="AD602">
            <v>56354.145185616275</v>
          </cell>
          <cell r="AE602">
            <v>56575.76785343116</v>
          </cell>
          <cell r="AF602">
            <v>56804.039201280495</v>
          </cell>
          <cell r="AG602">
            <v>57039.158689565316</v>
          </cell>
          <cell r="AH602">
            <v>57281.331762498674</v>
          </cell>
          <cell r="AI602">
            <v>57530.770027620034</v>
          </cell>
          <cell r="AJ602">
            <v>57787.69144069504</v>
          </cell>
          <cell r="AL602">
            <v>1368996.826952436</v>
          </cell>
        </row>
        <row r="603">
          <cell r="A603" t="str">
            <v> - зачтенный</v>
          </cell>
          <cell r="B603" t="str">
            <v> - written off</v>
          </cell>
          <cell r="D603" t="str">
            <v>тыс.руб.</v>
          </cell>
          <cell r="E603" t="str">
            <v>del_str</v>
          </cell>
          <cell r="F603">
            <v>0</v>
          </cell>
          <cell r="G603">
            <v>0</v>
          </cell>
          <cell r="H603">
            <v>12715.610687999997</v>
          </cell>
          <cell r="I603">
            <v>14187.514175999999</v>
          </cell>
          <cell r="J603">
            <v>16667.944128000003</v>
          </cell>
          <cell r="K603">
            <v>19148.374079999998</v>
          </cell>
          <cell r="L603">
            <v>21628.804032</v>
          </cell>
          <cell r="M603">
            <v>23926.608921599996</v>
          </cell>
          <cell r="N603">
            <v>26224.4138112</v>
          </cell>
          <cell r="O603">
            <v>28522.2187008</v>
          </cell>
          <cell r="P603">
            <v>30820.023590400007</v>
          </cell>
          <cell r="Q603">
            <v>33117.82848</v>
          </cell>
          <cell r="R603">
            <v>35517.8488896</v>
          </cell>
          <cell r="S603">
            <v>37917.86929920001</v>
          </cell>
          <cell r="T603">
            <v>40317.88970880001</v>
          </cell>
          <cell r="U603">
            <v>42717.91011840001</v>
          </cell>
          <cell r="V603">
            <v>42717.91011840001</v>
          </cell>
          <cell r="W603">
            <v>42717.91011840001</v>
          </cell>
          <cell r="X603">
            <v>42717.91011840001</v>
          </cell>
          <cell r="Y603">
            <v>42717.91011840001</v>
          </cell>
          <cell r="Z603">
            <v>42717.91011840001</v>
          </cell>
          <cell r="AA603">
            <v>42717.91011840001</v>
          </cell>
          <cell r="AB603">
            <v>42717.91011840001</v>
          </cell>
          <cell r="AC603">
            <v>42717.91011840001</v>
          </cell>
          <cell r="AD603">
            <v>42717.91011840001</v>
          </cell>
          <cell r="AE603">
            <v>42717.91011840001</v>
          </cell>
          <cell r="AF603">
            <v>42717.91011840001</v>
          </cell>
          <cell r="AG603">
            <v>42717.91011840001</v>
          </cell>
          <cell r="AH603">
            <v>42717.91011840001</v>
          </cell>
          <cell r="AI603">
            <v>42717.91011840001</v>
          </cell>
          <cell r="AJ603">
            <v>42717.91011840001</v>
          </cell>
          <cell r="AL603">
            <v>1024199.5104000001</v>
          </cell>
        </row>
        <row r="604">
          <cell r="A604" t="str">
            <v> - прямое возмещение из бюджета</v>
          </cell>
          <cell r="B604" t="str">
            <v> - direct indemnification from the budget</v>
          </cell>
          <cell r="D604" t="str">
            <v>тыс.руб.</v>
          </cell>
          <cell r="E604" t="str">
            <v>del_str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L604">
            <v>0</v>
          </cell>
        </row>
        <row r="605">
          <cell r="A605" t="str">
            <v> - остаток в бюджет (в т.ч. на возмещение НДС по ПА)</v>
          </cell>
          <cell r="B605" t="str">
            <v> - remainder in the budget (including on indemnification VAT on Fixed Assets) </v>
          </cell>
          <cell r="D605" t="str">
            <v>тыс.руб.</v>
          </cell>
          <cell r="E605" t="str">
            <v>del_str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L605">
            <v>0</v>
          </cell>
        </row>
        <row r="606">
          <cell r="A606" t="str">
            <v>НДС по текущей деятельности как актив (долг бюджета)</v>
          </cell>
          <cell r="B606" t="str">
            <v>VAT on current activity as asset (debt of the budget)</v>
          </cell>
          <cell r="D606" t="str">
            <v>тыс.руб.</v>
          </cell>
          <cell r="E606" t="str">
            <v>del_str</v>
          </cell>
          <cell r="F606">
            <v>0</v>
          </cell>
          <cell r="G606">
            <v>0</v>
          </cell>
          <cell r="H606">
            <v>6323.030248499999</v>
          </cell>
          <cell r="I606">
            <v>14340.509539199993</v>
          </cell>
          <cell r="J606">
            <v>23252.304329099992</v>
          </cell>
          <cell r="K606">
            <v>32993.2192014</v>
          </cell>
          <cell r="L606">
            <v>43566.4401561</v>
          </cell>
          <cell r="M606">
            <v>54144.36610668001</v>
          </cell>
          <cell r="N606">
            <v>64744.254973980016</v>
          </cell>
          <cell r="O606">
            <v>75370.129318764</v>
          </cell>
          <cell r="P606">
            <v>86026.1323786189</v>
          </cell>
          <cell r="Q606">
            <v>96716.53168825927</v>
          </cell>
          <cell r="R606">
            <v>107717.78364518104</v>
          </cell>
          <cell r="S606">
            <v>119029.28860358283</v>
          </cell>
          <cell r="T606">
            <v>130655.70981387072</v>
          </cell>
          <cell r="U606">
            <v>142601.85042396287</v>
          </cell>
          <cell r="V606">
            <v>154682.3625808949</v>
          </cell>
          <cell r="W606">
            <v>166937.8257183333</v>
          </cell>
          <cell r="X606">
            <v>179373.4883656933</v>
          </cell>
          <cell r="Y606">
            <v>191994.7565082725</v>
          </cell>
          <cell r="Z606">
            <v>204807.1983109275</v>
          </cell>
          <cell r="AA606">
            <v>217816.54898346053</v>
          </cell>
          <cell r="AB606">
            <v>231028.71579196793</v>
          </cell>
          <cell r="AC606">
            <v>244449.78322052897</v>
          </cell>
          <cell r="AD606">
            <v>258086.0182877452</v>
          </cell>
          <cell r="AE606">
            <v>271943.87602277636</v>
          </cell>
          <cell r="AF606">
            <v>286030.0051056569</v>
          </cell>
          <cell r="AG606">
            <v>300351.2536768222</v>
          </cell>
          <cell r="AH606">
            <v>314914.6753209209</v>
          </cell>
          <cell r="AI606">
            <v>329727.5352301409</v>
          </cell>
          <cell r="AJ606">
            <v>344797.31655243586</v>
          </cell>
          <cell r="AL606" t="str">
            <v>-</v>
          </cell>
        </row>
        <row r="607">
          <cell r="E607" t="str">
            <v>del_str</v>
          </cell>
        </row>
        <row r="608">
          <cell r="A608" t="str">
            <v>НДС к постоянным активам</v>
          </cell>
          <cell r="B608" t="str">
            <v>VAT on fixed assets</v>
          </cell>
          <cell r="E608" t="str">
            <v>del_str</v>
          </cell>
        </row>
        <row r="609">
          <cell r="A609" t="str">
            <v> - уплаченный</v>
          </cell>
          <cell r="B609" t="str">
            <v> - paid</v>
          </cell>
          <cell r="D609" t="str">
            <v>тыс.руб.</v>
          </cell>
          <cell r="E609" t="str">
            <v>del_str</v>
          </cell>
          <cell r="F609">
            <v>0</v>
          </cell>
          <cell r="G609">
            <v>21347.982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L609">
            <v>21347.982</v>
          </cell>
        </row>
        <row r="610">
          <cell r="A610" t="str">
            <v> - к зачету</v>
          </cell>
          <cell r="B610" t="str">
            <v> - to offset</v>
          </cell>
          <cell r="D610" t="str">
            <v>тыс.руб.</v>
          </cell>
          <cell r="E610" t="str">
            <v>del_str</v>
          </cell>
          <cell r="F610">
            <v>0</v>
          </cell>
          <cell r="G610">
            <v>0</v>
          </cell>
          <cell r="H610">
            <v>21347.982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L610">
            <v>21347.982</v>
          </cell>
        </row>
        <row r="611">
          <cell r="A611" t="str">
            <v> - зачтенный, в т.ч. за счет</v>
          </cell>
          <cell r="B611" t="str">
            <v> - written off,</v>
          </cell>
          <cell r="D611" t="str">
            <v>тыс.руб.</v>
          </cell>
          <cell r="E611" t="str">
            <v>del_str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L611">
            <v>0</v>
          </cell>
        </row>
        <row r="612">
          <cell r="A612" t="str">
            <v> прямого возмещения из бюджета</v>
          </cell>
          <cell r="B612" t="str">
            <v>including direct indemnification from the budget</v>
          </cell>
          <cell r="D612" t="str">
            <v>тыс.руб.</v>
          </cell>
          <cell r="E612" t="str">
            <v>del_str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L612">
            <v>0</v>
          </cell>
        </row>
        <row r="613">
          <cell r="A613" t="str">
            <v>НДС по постоянным активам как актив</v>
          </cell>
          <cell r="B613" t="str">
            <v>VAT on fixed assets as current asset</v>
          </cell>
          <cell r="D613" t="str">
            <v>тыс.руб.</v>
          </cell>
          <cell r="E613" t="str">
            <v>del_str</v>
          </cell>
          <cell r="F613">
            <v>0</v>
          </cell>
          <cell r="G613">
            <v>21347.982</v>
          </cell>
          <cell r="H613">
            <v>21347.982</v>
          </cell>
          <cell r="I613">
            <v>21347.982</v>
          </cell>
          <cell r="J613">
            <v>21347.982</v>
          </cell>
          <cell r="K613">
            <v>21347.982</v>
          </cell>
          <cell r="L613">
            <v>21347.982</v>
          </cell>
          <cell r="M613">
            <v>21347.982</v>
          </cell>
          <cell r="N613">
            <v>21347.982</v>
          </cell>
          <cell r="O613">
            <v>21347.982</v>
          </cell>
          <cell r="P613">
            <v>21347.982</v>
          </cell>
          <cell r="Q613">
            <v>21347.982</v>
          </cell>
          <cell r="R613">
            <v>21347.982</v>
          </cell>
          <cell r="S613">
            <v>21347.982</v>
          </cell>
          <cell r="T613">
            <v>21347.982</v>
          </cell>
          <cell r="U613">
            <v>21347.982</v>
          </cell>
          <cell r="V613">
            <v>21347.982</v>
          </cell>
          <cell r="W613">
            <v>21347.982</v>
          </cell>
          <cell r="X613">
            <v>21347.982</v>
          </cell>
          <cell r="Y613">
            <v>21347.982</v>
          </cell>
          <cell r="Z613">
            <v>21347.982</v>
          </cell>
          <cell r="AA613">
            <v>21347.982</v>
          </cell>
          <cell r="AB613">
            <v>21347.982</v>
          </cell>
          <cell r="AC613">
            <v>21347.982</v>
          </cell>
          <cell r="AD613">
            <v>21347.982</v>
          </cell>
          <cell r="AE613">
            <v>21347.982</v>
          </cell>
          <cell r="AF613">
            <v>21347.982</v>
          </cell>
          <cell r="AG613">
            <v>21347.982</v>
          </cell>
          <cell r="AH613">
            <v>21347.982</v>
          </cell>
          <cell r="AI613">
            <v>21347.982</v>
          </cell>
          <cell r="AJ613">
            <v>21347.982</v>
          </cell>
          <cell r="AL613" t="str">
            <v>-</v>
          </cell>
        </row>
        <row r="614">
          <cell r="E614" t="str">
            <v>del_str</v>
          </cell>
        </row>
        <row r="615">
          <cell r="A615" t="str">
            <v> - суммы в бюджет(+)/из бюджета(-)</v>
          </cell>
          <cell r="B615" t="str">
            <v> - sums to the budget (+) / from the budget (-) </v>
          </cell>
          <cell r="D615" t="str">
            <v>тыс.руб.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L615">
            <v>0</v>
          </cell>
        </row>
        <row r="616">
          <cell r="A616" t="str">
            <v>НДС как краткосрочный пассив</v>
          </cell>
          <cell r="B616" t="str">
            <v>VAT as short-term liabilities </v>
          </cell>
          <cell r="D616" t="str">
            <v>тыс.руб.</v>
          </cell>
          <cell r="E616" t="str">
            <v>,del_str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L616" t="str">
            <v>-</v>
          </cell>
        </row>
        <row r="618">
          <cell r="A618" t="str">
            <v>Экспортная пошлина</v>
          </cell>
          <cell r="B618" t="str">
            <v>Export duty</v>
          </cell>
          <cell r="D618" t="str">
            <v>тыс.руб.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L618">
            <v>0</v>
          </cell>
        </row>
        <row r="619">
          <cell r="A619" t="str">
            <v>Импортная пошлина</v>
          </cell>
          <cell r="B619" t="str">
            <v>Import duty</v>
          </cell>
          <cell r="D619" t="str">
            <v>тыс.руб.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L619">
            <v>0</v>
          </cell>
        </row>
        <row r="621">
          <cell r="A621" t="str">
            <v>Подоходный налог</v>
          </cell>
          <cell r="B621" t="str">
            <v>Withholding tax</v>
          </cell>
          <cell r="D621" t="str">
            <v>тыс.руб.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L621">
            <v>0</v>
          </cell>
        </row>
        <row r="622">
          <cell r="A622" t="str">
            <v> - ставка</v>
          </cell>
          <cell r="B622" t="str">
            <v> - tax rate</v>
          </cell>
          <cell r="D622" t="str">
            <v>%</v>
          </cell>
          <cell r="F622">
            <v>0.13</v>
          </cell>
          <cell r="G622">
            <v>0.13</v>
          </cell>
          <cell r="H622">
            <v>0.13</v>
          </cell>
          <cell r="I622">
            <v>0.13</v>
          </cell>
          <cell r="J622">
            <v>0.13</v>
          </cell>
          <cell r="K622">
            <v>0.13</v>
          </cell>
          <cell r="L622">
            <v>0.13</v>
          </cell>
          <cell r="M622">
            <v>0.13</v>
          </cell>
          <cell r="N622">
            <v>0.13</v>
          </cell>
          <cell r="O622">
            <v>0.13</v>
          </cell>
          <cell r="P622">
            <v>0.13</v>
          </cell>
          <cell r="Q622">
            <v>0.13</v>
          </cell>
          <cell r="R622">
            <v>0.13</v>
          </cell>
          <cell r="S622">
            <v>0.13</v>
          </cell>
          <cell r="T622">
            <v>0.13</v>
          </cell>
          <cell r="U622">
            <v>0.13</v>
          </cell>
          <cell r="V622">
            <v>0.13</v>
          </cell>
          <cell r="W622">
            <v>0.13</v>
          </cell>
          <cell r="X622">
            <v>0.13</v>
          </cell>
          <cell r="Y622">
            <v>0.13</v>
          </cell>
          <cell r="Z622">
            <v>0.13</v>
          </cell>
          <cell r="AA622">
            <v>0.13</v>
          </cell>
          <cell r="AB622">
            <v>0.13</v>
          </cell>
          <cell r="AC622">
            <v>0.13</v>
          </cell>
          <cell r="AD622">
            <v>0.13</v>
          </cell>
          <cell r="AE622">
            <v>0.13</v>
          </cell>
          <cell r="AF622">
            <v>0.13</v>
          </cell>
          <cell r="AG622">
            <v>0.13</v>
          </cell>
          <cell r="AH622">
            <v>0.13</v>
          </cell>
          <cell r="AI622">
            <v>0.13</v>
          </cell>
          <cell r="AJ622">
            <v>0.13</v>
          </cell>
        </row>
        <row r="624">
          <cell r="A624" t="str">
            <v>2. НАЛОГОВЫЕ ПЛАТЕЖИ ОТНОСИМЫЕ НА СЕБЕСТОИМОСТЬ</v>
          </cell>
          <cell r="B624" t="str">
            <v>2. TAX PAYMENTS, INCLUDED In THE COST PRICE</v>
          </cell>
        </row>
        <row r="626">
          <cell r="A626" t="str">
            <v>Отчисления на социальные нужды</v>
          </cell>
          <cell r="B626" t="str">
            <v>Social needs surcharges</v>
          </cell>
          <cell r="D626" t="str">
            <v>тыс.руб.</v>
          </cell>
          <cell r="E626" t="str">
            <v>tax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L626">
            <v>0</v>
          </cell>
        </row>
        <row r="627">
          <cell r="A627" t="str">
            <v> - ставка</v>
          </cell>
          <cell r="B627" t="str">
            <v> - tax rate</v>
          </cell>
          <cell r="D627" t="str">
            <v>%</v>
          </cell>
          <cell r="F627">
            <v>0.356</v>
          </cell>
          <cell r="G627">
            <v>0.356</v>
          </cell>
          <cell r="H627">
            <v>0.356</v>
          </cell>
          <cell r="I627">
            <v>0.356</v>
          </cell>
          <cell r="J627">
            <v>0.356</v>
          </cell>
          <cell r="K627">
            <v>0.356</v>
          </cell>
          <cell r="L627">
            <v>0.356</v>
          </cell>
          <cell r="M627">
            <v>0.356</v>
          </cell>
          <cell r="N627">
            <v>0.356</v>
          </cell>
          <cell r="O627">
            <v>0.356</v>
          </cell>
          <cell r="P627">
            <v>0.356</v>
          </cell>
          <cell r="Q627">
            <v>0.356</v>
          </cell>
          <cell r="R627">
            <v>0.356</v>
          </cell>
          <cell r="S627">
            <v>0.356</v>
          </cell>
          <cell r="T627">
            <v>0.356</v>
          </cell>
          <cell r="U627">
            <v>0.356</v>
          </cell>
          <cell r="V627">
            <v>0.356</v>
          </cell>
          <cell r="W627">
            <v>0.356</v>
          </cell>
          <cell r="X627">
            <v>0.356</v>
          </cell>
          <cell r="Y627">
            <v>0.356</v>
          </cell>
          <cell r="Z627">
            <v>0.356</v>
          </cell>
          <cell r="AA627">
            <v>0.356</v>
          </cell>
          <cell r="AB627">
            <v>0.356</v>
          </cell>
          <cell r="AC627">
            <v>0.356</v>
          </cell>
          <cell r="AD627">
            <v>0.356</v>
          </cell>
          <cell r="AE627">
            <v>0.356</v>
          </cell>
          <cell r="AF627">
            <v>0.356</v>
          </cell>
          <cell r="AG627">
            <v>0.356</v>
          </cell>
          <cell r="AH627">
            <v>0.356</v>
          </cell>
          <cell r="AI627">
            <v>0.356</v>
          </cell>
          <cell r="AJ627">
            <v>0.356</v>
          </cell>
        </row>
        <row r="628">
          <cell r="A628" t="str">
            <v> - период уплаты</v>
          </cell>
          <cell r="B628" t="str">
            <v> - payment period</v>
          </cell>
          <cell r="D628" t="str">
            <v>дни</v>
          </cell>
          <cell r="F628">
            <v>30</v>
          </cell>
          <cell r="G628">
            <v>30</v>
          </cell>
          <cell r="H628">
            <v>30</v>
          </cell>
          <cell r="I628">
            <v>30</v>
          </cell>
          <cell r="J628">
            <v>30</v>
          </cell>
          <cell r="K628">
            <v>30</v>
          </cell>
          <cell r="L628">
            <v>30</v>
          </cell>
          <cell r="M628">
            <v>30</v>
          </cell>
          <cell r="N628">
            <v>30</v>
          </cell>
          <cell r="O628">
            <v>30</v>
          </cell>
          <cell r="P628">
            <v>30</v>
          </cell>
          <cell r="Q628">
            <v>30</v>
          </cell>
          <cell r="R628">
            <v>30</v>
          </cell>
          <cell r="S628">
            <v>30</v>
          </cell>
          <cell r="T628">
            <v>30</v>
          </cell>
          <cell r="U628">
            <v>30</v>
          </cell>
          <cell r="V628">
            <v>30</v>
          </cell>
          <cell r="W628">
            <v>30</v>
          </cell>
          <cell r="X628">
            <v>30</v>
          </cell>
          <cell r="Y628">
            <v>30</v>
          </cell>
          <cell r="Z628">
            <v>30</v>
          </cell>
          <cell r="AA628">
            <v>30</v>
          </cell>
          <cell r="AB628">
            <v>30</v>
          </cell>
          <cell r="AC628">
            <v>30</v>
          </cell>
          <cell r="AD628">
            <v>30</v>
          </cell>
          <cell r="AE628">
            <v>30</v>
          </cell>
          <cell r="AF628">
            <v>30</v>
          </cell>
          <cell r="AG628">
            <v>30</v>
          </cell>
          <cell r="AH628">
            <v>30</v>
          </cell>
          <cell r="AI628">
            <v>30</v>
          </cell>
          <cell r="AJ628">
            <v>30</v>
          </cell>
        </row>
        <row r="629">
          <cell r="A629" t="str">
            <v>Налог как краткосрочный пассив</v>
          </cell>
          <cell r="B629" t="str">
            <v>Tax as short-term liabilities </v>
          </cell>
          <cell r="D629" t="str">
            <v>тыс.руб.</v>
          </cell>
          <cell r="E629" t="str">
            <v>liab,del_str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L629">
            <v>0</v>
          </cell>
        </row>
        <row r="631">
          <cell r="A631" t="str">
            <v>Налоги в дорожный фонд</v>
          </cell>
          <cell r="B631" t="str">
            <v>Road users tax</v>
          </cell>
          <cell r="D631" t="str">
            <v>тыс.руб.</v>
          </cell>
          <cell r="E631" t="str">
            <v>tax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L631">
            <v>0</v>
          </cell>
        </row>
        <row r="632">
          <cell r="A632" t="str">
            <v> - ставка</v>
          </cell>
          <cell r="B632" t="str">
            <v> - tax rate</v>
          </cell>
          <cell r="D632" t="str">
            <v>%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</row>
        <row r="633">
          <cell r="A633" t="str">
            <v> - период уплаты</v>
          </cell>
          <cell r="B633" t="str">
            <v> - payment period</v>
          </cell>
          <cell r="D633" t="str">
            <v>дни</v>
          </cell>
          <cell r="F633">
            <v>30</v>
          </cell>
          <cell r="G633">
            <v>30</v>
          </cell>
          <cell r="H633">
            <v>30</v>
          </cell>
          <cell r="I633">
            <v>30</v>
          </cell>
          <cell r="J633">
            <v>30</v>
          </cell>
          <cell r="K633">
            <v>30</v>
          </cell>
          <cell r="L633">
            <v>30</v>
          </cell>
          <cell r="M633">
            <v>30</v>
          </cell>
          <cell r="N633">
            <v>30</v>
          </cell>
          <cell r="O633">
            <v>30</v>
          </cell>
          <cell r="P633">
            <v>30</v>
          </cell>
          <cell r="Q633">
            <v>30</v>
          </cell>
          <cell r="R633">
            <v>30</v>
          </cell>
          <cell r="S633">
            <v>30</v>
          </cell>
          <cell r="T633">
            <v>30</v>
          </cell>
          <cell r="U633">
            <v>30</v>
          </cell>
          <cell r="V633">
            <v>30</v>
          </cell>
          <cell r="W633">
            <v>30</v>
          </cell>
          <cell r="X633">
            <v>30</v>
          </cell>
          <cell r="Y633">
            <v>30</v>
          </cell>
          <cell r="Z633">
            <v>30</v>
          </cell>
          <cell r="AA633">
            <v>30</v>
          </cell>
          <cell r="AB633">
            <v>30</v>
          </cell>
          <cell r="AC633">
            <v>30</v>
          </cell>
          <cell r="AD633">
            <v>30</v>
          </cell>
          <cell r="AE633">
            <v>30</v>
          </cell>
          <cell r="AF633">
            <v>30</v>
          </cell>
          <cell r="AG633">
            <v>30</v>
          </cell>
          <cell r="AH633">
            <v>30</v>
          </cell>
          <cell r="AI633">
            <v>30</v>
          </cell>
          <cell r="AJ633">
            <v>30</v>
          </cell>
        </row>
        <row r="634">
          <cell r="A634" t="str">
            <v>Налог как краткосрочный пассив</v>
          </cell>
          <cell r="B634" t="str">
            <v>Tax as short-term liabilities </v>
          </cell>
          <cell r="D634" t="str">
            <v>тыс.руб.</v>
          </cell>
          <cell r="E634" t="str">
            <v>liab,del_str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L634">
            <v>0</v>
          </cell>
        </row>
        <row r="636">
          <cell r="A636" t="str">
            <v>Транспортный налог</v>
          </cell>
          <cell r="B636" t="str">
            <v>Transport tax</v>
          </cell>
          <cell r="D636" t="str">
            <v>тыс.руб.</v>
          </cell>
          <cell r="E636" t="str">
            <v>tax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L636">
            <v>0</v>
          </cell>
        </row>
        <row r="637">
          <cell r="A637" t="str">
            <v> - ставка</v>
          </cell>
          <cell r="B637" t="str">
            <v> - tax rate</v>
          </cell>
          <cell r="D637" t="str">
            <v>%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</row>
        <row r="638">
          <cell r="A638" t="str">
            <v> - период уплаты</v>
          </cell>
          <cell r="B638" t="str">
            <v> - payment period</v>
          </cell>
          <cell r="D638" t="str">
            <v>дни</v>
          </cell>
          <cell r="F638">
            <v>90</v>
          </cell>
          <cell r="G638">
            <v>90</v>
          </cell>
          <cell r="H638">
            <v>90</v>
          </cell>
          <cell r="I638">
            <v>90</v>
          </cell>
          <cell r="J638">
            <v>90</v>
          </cell>
          <cell r="K638">
            <v>90</v>
          </cell>
          <cell r="L638">
            <v>90</v>
          </cell>
          <cell r="M638">
            <v>90</v>
          </cell>
          <cell r="N638">
            <v>90</v>
          </cell>
          <cell r="O638">
            <v>90</v>
          </cell>
          <cell r="P638">
            <v>90</v>
          </cell>
          <cell r="Q638">
            <v>90</v>
          </cell>
          <cell r="R638">
            <v>90</v>
          </cell>
          <cell r="S638">
            <v>90</v>
          </cell>
          <cell r="T638">
            <v>90</v>
          </cell>
          <cell r="U638">
            <v>90</v>
          </cell>
          <cell r="V638">
            <v>90</v>
          </cell>
          <cell r="W638">
            <v>90</v>
          </cell>
          <cell r="X638">
            <v>90</v>
          </cell>
          <cell r="Y638">
            <v>90</v>
          </cell>
          <cell r="Z638">
            <v>90</v>
          </cell>
          <cell r="AA638">
            <v>90</v>
          </cell>
          <cell r="AB638">
            <v>90</v>
          </cell>
          <cell r="AC638">
            <v>90</v>
          </cell>
          <cell r="AD638">
            <v>90</v>
          </cell>
          <cell r="AE638">
            <v>90</v>
          </cell>
          <cell r="AF638">
            <v>90</v>
          </cell>
          <cell r="AG638">
            <v>90</v>
          </cell>
          <cell r="AH638">
            <v>90</v>
          </cell>
          <cell r="AI638">
            <v>90</v>
          </cell>
          <cell r="AJ638">
            <v>90</v>
          </cell>
        </row>
        <row r="639">
          <cell r="A639" t="str">
            <v>Налог как краткосрочный пассив</v>
          </cell>
          <cell r="B639" t="str">
            <v>Tax as short-term liabilities </v>
          </cell>
          <cell r="D639" t="str">
            <v>тыс.руб.</v>
          </cell>
          <cell r="E639" t="str">
            <v>liab,del_str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L639">
            <v>0</v>
          </cell>
        </row>
        <row r="641">
          <cell r="A641" t="str">
            <v>Сбор на нужды прав.органов</v>
          </cell>
          <cell r="B641" t="str">
            <v>Other tax</v>
          </cell>
          <cell r="D641" t="str">
            <v>тыс.руб.</v>
          </cell>
          <cell r="E641" t="str">
            <v>tax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L641">
            <v>0</v>
          </cell>
        </row>
        <row r="642">
          <cell r="A642" t="str">
            <v> - ставка</v>
          </cell>
          <cell r="B642" t="str">
            <v> - tax rate</v>
          </cell>
          <cell r="D642" t="str">
            <v>%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</row>
        <row r="643">
          <cell r="A643" t="str">
            <v> - период уплаты</v>
          </cell>
          <cell r="B643" t="str">
            <v> - payment period</v>
          </cell>
          <cell r="D643" t="str">
            <v>дни</v>
          </cell>
          <cell r="F643">
            <v>30</v>
          </cell>
          <cell r="G643">
            <v>30</v>
          </cell>
          <cell r="H643">
            <v>30</v>
          </cell>
          <cell r="I643">
            <v>30</v>
          </cell>
          <cell r="J643">
            <v>30</v>
          </cell>
          <cell r="K643">
            <v>30</v>
          </cell>
          <cell r="L643">
            <v>30</v>
          </cell>
          <cell r="M643">
            <v>30</v>
          </cell>
          <cell r="N643">
            <v>30</v>
          </cell>
          <cell r="O643">
            <v>30</v>
          </cell>
          <cell r="P643">
            <v>30</v>
          </cell>
          <cell r="Q643">
            <v>30</v>
          </cell>
          <cell r="R643">
            <v>30</v>
          </cell>
          <cell r="S643">
            <v>30</v>
          </cell>
          <cell r="T643">
            <v>30</v>
          </cell>
          <cell r="U643">
            <v>30</v>
          </cell>
          <cell r="V643">
            <v>30</v>
          </cell>
          <cell r="W643">
            <v>30</v>
          </cell>
          <cell r="X643">
            <v>30</v>
          </cell>
          <cell r="Y643">
            <v>30</v>
          </cell>
          <cell r="Z643">
            <v>30</v>
          </cell>
          <cell r="AA643">
            <v>30</v>
          </cell>
          <cell r="AB643">
            <v>30</v>
          </cell>
          <cell r="AC643">
            <v>30</v>
          </cell>
          <cell r="AD643">
            <v>30</v>
          </cell>
          <cell r="AE643">
            <v>30</v>
          </cell>
          <cell r="AF643">
            <v>30</v>
          </cell>
          <cell r="AG643">
            <v>30</v>
          </cell>
          <cell r="AH643">
            <v>30</v>
          </cell>
          <cell r="AI643">
            <v>30</v>
          </cell>
          <cell r="AJ643">
            <v>30</v>
          </cell>
        </row>
        <row r="644">
          <cell r="A644" t="str">
            <v> - налогооблагаемая база</v>
          </cell>
          <cell r="B644" t="str">
            <v> - basis of tax payment</v>
          </cell>
          <cell r="D644" t="str">
            <v>тыс.руб.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L644">
            <v>0</v>
          </cell>
        </row>
        <row r="645">
          <cell r="A645" t="str">
            <v>Налог как краткосрочный пассив</v>
          </cell>
          <cell r="B645" t="str">
            <v>Tax as short-term liabilities </v>
          </cell>
          <cell r="D645" t="str">
            <v>тыс.руб.</v>
          </cell>
          <cell r="E645" t="str">
            <v>liab,del_str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L645">
            <v>0</v>
          </cell>
        </row>
        <row r="647">
          <cell r="A647" t="str">
            <v> = Итого платежи по налогам, относимым на себестоимость</v>
          </cell>
          <cell r="B647" t="str">
            <v> = Total taxes, included in the cost price</v>
          </cell>
          <cell r="D647" t="str">
            <v>тыс.руб.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L647">
            <v>0</v>
          </cell>
        </row>
        <row r="648">
          <cell r="A648" t="str">
            <v> = Налоги как краткосрочный пассив</v>
          </cell>
          <cell r="B648" t="str">
            <v> = Taxes as short-term liabilities </v>
          </cell>
          <cell r="D648" t="str">
            <v>тыс.руб.</v>
          </cell>
          <cell r="E648" t="str">
            <v>,del_str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L648">
            <v>0</v>
          </cell>
        </row>
        <row r="650">
          <cell r="A650" t="str">
            <v>3. НАЛОГОВЫЕ ПЛАТЕЖИ ОТНОСИМЫЕ НА ФИНАНСОВЫЕ РЕЗУЛЬТАТЫ</v>
          </cell>
          <cell r="B650" t="str">
            <v>3. TAX PAYMENTS, REFERED ON FINANCIAL OUTCOMES</v>
          </cell>
        </row>
        <row r="652">
          <cell r="A652" t="str">
            <v>Налог на имущество</v>
          </cell>
          <cell r="B652" t="str">
            <v>Property tax</v>
          </cell>
          <cell r="D652" t="str">
            <v>тыс.руб.</v>
          </cell>
          <cell r="E652" t="str">
            <v>tax</v>
          </cell>
          <cell r="F652">
            <v>0</v>
          </cell>
          <cell r="G652">
            <v>0</v>
          </cell>
          <cell r="H652">
            <v>2480.4654526279696</v>
          </cell>
          <cell r="I652">
            <v>2570.3996081839095</v>
          </cell>
          <cell r="J652">
            <v>2538.6496044303453</v>
          </cell>
          <cell r="K652">
            <v>2512.2161910672785</v>
          </cell>
          <cell r="L652">
            <v>2485.7827777042116</v>
          </cell>
          <cell r="M652">
            <v>2452.644126107149</v>
          </cell>
          <cell r="N652">
            <v>2412.8002362760903</v>
          </cell>
          <cell r="O652">
            <v>2372.9563464450325</v>
          </cell>
          <cell r="P652">
            <v>2333.1124566139742</v>
          </cell>
          <cell r="Q652">
            <v>2293.268566782916</v>
          </cell>
          <cell r="R652">
            <v>2256.1479121588336</v>
          </cell>
          <cell r="S652">
            <v>2221.750492741728</v>
          </cell>
          <cell r="T652">
            <v>2187.353073324622</v>
          </cell>
          <cell r="U652">
            <v>2152.9556539075165</v>
          </cell>
          <cell r="V652">
            <v>2091.874981198964</v>
          </cell>
          <cell r="W652">
            <v>2004.1110551989636</v>
          </cell>
          <cell r="X652">
            <v>1916.347129198964</v>
          </cell>
          <cell r="Y652">
            <v>1828.583203198964</v>
          </cell>
          <cell r="Z652">
            <v>1740.8192771989643</v>
          </cell>
          <cell r="AA652">
            <v>1653.055351198964</v>
          </cell>
          <cell r="AB652">
            <v>1565.2914251989644</v>
          </cell>
          <cell r="AC652">
            <v>1477.5274991989643</v>
          </cell>
          <cell r="AD652">
            <v>1389.7635731989647</v>
          </cell>
          <cell r="AE652">
            <v>1301.9996471989646</v>
          </cell>
          <cell r="AF652">
            <v>1214.2357211989647</v>
          </cell>
          <cell r="AG652">
            <v>1126.4717951989646</v>
          </cell>
          <cell r="AH652">
            <v>1038.7078691989648</v>
          </cell>
          <cell r="AI652">
            <v>993.6399071989641</v>
          </cell>
          <cell r="AJ652">
            <v>992.4539081989634</v>
          </cell>
          <cell r="AL652">
            <v>55605.38484135604</v>
          </cell>
        </row>
        <row r="653">
          <cell r="A653" t="str">
            <v> - ставка</v>
          </cell>
          <cell r="B653" t="str">
            <v> - tax rate</v>
          </cell>
          <cell r="D653" t="str">
            <v>%</v>
          </cell>
          <cell r="F653">
            <v>0.02</v>
          </cell>
          <cell r="G653">
            <v>0.02</v>
          </cell>
          <cell r="H653">
            <v>0.02</v>
          </cell>
          <cell r="I653">
            <v>0.02</v>
          </cell>
          <cell r="J653">
            <v>0.02</v>
          </cell>
          <cell r="K653">
            <v>0.02</v>
          </cell>
          <cell r="L653">
            <v>0.02</v>
          </cell>
          <cell r="M653">
            <v>0.02</v>
          </cell>
          <cell r="N653">
            <v>0.02</v>
          </cell>
          <cell r="O653">
            <v>0.02</v>
          </cell>
          <cell r="P653">
            <v>0.02</v>
          </cell>
          <cell r="Q653">
            <v>0.02</v>
          </cell>
          <cell r="R653">
            <v>0.02</v>
          </cell>
          <cell r="S653">
            <v>0.02</v>
          </cell>
          <cell r="T653">
            <v>0.02</v>
          </cell>
          <cell r="U653">
            <v>0.02</v>
          </cell>
          <cell r="V653">
            <v>0.02</v>
          </cell>
          <cell r="W653">
            <v>0.02</v>
          </cell>
          <cell r="X653">
            <v>0.02</v>
          </cell>
          <cell r="Y653">
            <v>0.02</v>
          </cell>
          <cell r="Z653">
            <v>0.02</v>
          </cell>
          <cell r="AA653">
            <v>0.02</v>
          </cell>
          <cell r="AB653">
            <v>0.02</v>
          </cell>
          <cell r="AC653">
            <v>0.02</v>
          </cell>
          <cell r="AD653">
            <v>0.02</v>
          </cell>
          <cell r="AE653">
            <v>0.02</v>
          </cell>
          <cell r="AF653">
            <v>0.02</v>
          </cell>
          <cell r="AG653">
            <v>0.02</v>
          </cell>
          <cell r="AH653">
            <v>0.02</v>
          </cell>
          <cell r="AI653">
            <v>0.02</v>
          </cell>
          <cell r="AJ653">
            <v>0.02</v>
          </cell>
        </row>
        <row r="654">
          <cell r="A654" t="str">
            <v> - период уплаты</v>
          </cell>
          <cell r="B654" t="str">
            <v> - payment period</v>
          </cell>
          <cell r="D654" t="str">
            <v>дни</v>
          </cell>
          <cell r="F654">
            <v>90</v>
          </cell>
          <cell r="G654">
            <v>90</v>
          </cell>
          <cell r="H654">
            <v>90</v>
          </cell>
          <cell r="I654">
            <v>90</v>
          </cell>
          <cell r="J654">
            <v>90</v>
          </cell>
          <cell r="K654">
            <v>90</v>
          </cell>
          <cell r="L654">
            <v>90</v>
          </cell>
          <cell r="M654">
            <v>90</v>
          </cell>
          <cell r="N654">
            <v>90</v>
          </cell>
          <cell r="O654">
            <v>90</v>
          </cell>
          <cell r="P654">
            <v>90</v>
          </cell>
          <cell r="Q654">
            <v>90</v>
          </cell>
          <cell r="R654">
            <v>90</v>
          </cell>
          <cell r="S654">
            <v>90</v>
          </cell>
          <cell r="T654">
            <v>90</v>
          </cell>
          <cell r="U654">
            <v>90</v>
          </cell>
          <cell r="V654">
            <v>90</v>
          </cell>
          <cell r="W654">
            <v>90</v>
          </cell>
          <cell r="X654">
            <v>90</v>
          </cell>
          <cell r="Y654">
            <v>90</v>
          </cell>
          <cell r="Z654">
            <v>90</v>
          </cell>
          <cell r="AA654">
            <v>90</v>
          </cell>
          <cell r="AB654">
            <v>90</v>
          </cell>
          <cell r="AC654">
            <v>90</v>
          </cell>
          <cell r="AD654">
            <v>90</v>
          </cell>
          <cell r="AE654">
            <v>90</v>
          </cell>
          <cell r="AF654">
            <v>90</v>
          </cell>
          <cell r="AG654">
            <v>90</v>
          </cell>
          <cell r="AH654">
            <v>90</v>
          </cell>
          <cell r="AI654">
            <v>90</v>
          </cell>
          <cell r="AJ654">
            <v>90</v>
          </cell>
        </row>
        <row r="655">
          <cell r="A655" t="str">
            <v> - стоимость имущества</v>
          </cell>
          <cell r="B655" t="str">
            <v> - taxable property value without allowances</v>
          </cell>
          <cell r="D655" t="str">
            <v>тыс.руб.</v>
          </cell>
          <cell r="F655">
            <v>0</v>
          </cell>
          <cell r="G655">
            <v>0</v>
          </cell>
          <cell r="H655">
            <v>124023.27263139847</v>
          </cell>
          <cell r="I655">
            <v>128519.98040919547</v>
          </cell>
          <cell r="J655">
            <v>126932.48022151727</v>
          </cell>
          <cell r="K655">
            <v>125610.80955336391</v>
          </cell>
          <cell r="L655">
            <v>124289.13888521059</v>
          </cell>
          <cell r="M655">
            <v>122632.20630535745</v>
          </cell>
          <cell r="N655">
            <v>120640.01181380452</v>
          </cell>
          <cell r="O655">
            <v>118647.81732225162</v>
          </cell>
          <cell r="P655">
            <v>116655.6228306987</v>
          </cell>
          <cell r="Q655">
            <v>114663.4283391458</v>
          </cell>
          <cell r="R655">
            <v>112807.39560794168</v>
          </cell>
          <cell r="S655">
            <v>111087.5246370864</v>
          </cell>
          <cell r="T655">
            <v>109367.65366623111</v>
          </cell>
          <cell r="U655">
            <v>107647.78269537582</v>
          </cell>
          <cell r="V655">
            <v>104593.7490599482</v>
          </cell>
          <cell r="W655">
            <v>100205.55275994819</v>
          </cell>
          <cell r="X655">
            <v>95817.3564599482</v>
          </cell>
          <cell r="Y655">
            <v>91429.1601599482</v>
          </cell>
          <cell r="Z655">
            <v>87040.96385994821</v>
          </cell>
          <cell r="AA655">
            <v>82652.7675599482</v>
          </cell>
          <cell r="AB655">
            <v>78264.57125994822</v>
          </cell>
          <cell r="AC655">
            <v>73876.37495994821</v>
          </cell>
          <cell r="AD655">
            <v>69488.17865994823</v>
          </cell>
          <cell r="AE655">
            <v>65099.982359948226</v>
          </cell>
          <cell r="AF655">
            <v>60711.78605994823</v>
          </cell>
          <cell r="AG655">
            <v>56323.589759948234</v>
          </cell>
          <cell r="AH655">
            <v>51935.39345994824</v>
          </cell>
          <cell r="AI655">
            <v>49681.9953599482</v>
          </cell>
          <cell r="AJ655">
            <v>49622.695409948166</v>
          </cell>
        </row>
        <row r="656">
          <cell r="A656" t="str">
            <v> - суммы освобождаемые от налога на имущество</v>
          </cell>
          <cell r="B656" t="str">
            <v> - allowances (assets free from tax)</v>
          </cell>
          <cell r="D656" t="str">
            <v>тыс.руб.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</row>
        <row r="657">
          <cell r="A657" t="str">
            <v>Налог как краткосрочный пассив</v>
          </cell>
          <cell r="B657" t="str">
            <v>Tax as short-term liabilities </v>
          </cell>
          <cell r="D657" t="str">
            <v>тыс.руб.</v>
          </cell>
          <cell r="E657" t="str">
            <v>liab,del_str</v>
          </cell>
          <cell r="F657">
            <v>0</v>
          </cell>
          <cell r="G657">
            <v>0</v>
          </cell>
          <cell r="H657">
            <v>310.0581815784962</v>
          </cell>
          <cell r="I657">
            <v>321.2999510229887</v>
          </cell>
          <cell r="J657">
            <v>317.33120055379317</v>
          </cell>
          <cell r="K657">
            <v>314.0270238834098</v>
          </cell>
          <cell r="L657">
            <v>310.72284721302645</v>
          </cell>
          <cell r="M657">
            <v>306.58051576339363</v>
          </cell>
          <cell r="N657">
            <v>301.6000295345113</v>
          </cell>
          <cell r="O657">
            <v>296.61954330562907</v>
          </cell>
          <cell r="P657">
            <v>291.6390570767468</v>
          </cell>
          <cell r="Q657">
            <v>286.6585708478645</v>
          </cell>
          <cell r="R657">
            <v>282.0184890198542</v>
          </cell>
          <cell r="S657">
            <v>277.718811592716</v>
          </cell>
          <cell r="T657">
            <v>273.41913416557776</v>
          </cell>
          <cell r="U657">
            <v>269.11945673843957</v>
          </cell>
          <cell r="V657">
            <v>261.4843726498705</v>
          </cell>
          <cell r="W657">
            <v>250.51388189987046</v>
          </cell>
          <cell r="X657">
            <v>239.5433911498705</v>
          </cell>
          <cell r="Y657">
            <v>228.5729003998705</v>
          </cell>
          <cell r="Z657">
            <v>217.60240964987054</v>
          </cell>
          <cell r="AA657">
            <v>206.6319188998705</v>
          </cell>
          <cell r="AB657">
            <v>195.66142814987055</v>
          </cell>
          <cell r="AC657">
            <v>184.69093739987053</v>
          </cell>
          <cell r="AD657">
            <v>173.72044664987058</v>
          </cell>
          <cell r="AE657">
            <v>162.74995589987057</v>
          </cell>
          <cell r="AF657">
            <v>151.7794651498706</v>
          </cell>
          <cell r="AG657">
            <v>140.80897439987058</v>
          </cell>
          <cell r="AH657">
            <v>129.8384836498706</v>
          </cell>
          <cell r="AI657">
            <v>124.20498839987052</v>
          </cell>
          <cell r="AJ657">
            <v>124.05673852487043</v>
          </cell>
          <cell r="AL657">
            <v>6950.673105169505</v>
          </cell>
        </row>
        <row r="659">
          <cell r="A659" t="str">
            <v>Налог на содержание ЖФ и объектов соц.культ. сферы</v>
          </cell>
          <cell r="B659" t="str">
            <v>Dwelling fund maintenance tax</v>
          </cell>
          <cell r="D659" t="str">
            <v>тыс.руб.</v>
          </cell>
          <cell r="E659" t="str">
            <v>tax</v>
          </cell>
          <cell r="F659">
            <v>0</v>
          </cell>
          <cell r="G659">
            <v>0</v>
          </cell>
          <cell r="H659">
            <v>2529.276180803455</v>
          </cell>
          <cell r="I659">
            <v>2943.318361606911</v>
          </cell>
          <cell r="J659">
            <v>3451.5837526393084</v>
          </cell>
          <cell r="K659">
            <v>3959.8491436717063</v>
          </cell>
          <cell r="L659">
            <v>4468.114534704103</v>
          </cell>
          <cell r="M659">
            <v>4869.038159564579</v>
          </cell>
          <cell r="N659">
            <v>5269.961784425054</v>
          </cell>
          <cell r="O659">
            <v>5670.885409285529</v>
          </cell>
          <cell r="P659">
            <v>6071.809034146006</v>
          </cell>
          <cell r="Q659">
            <v>6472.732659006479</v>
          </cell>
          <cell r="R659">
            <v>6917.547444212525</v>
          </cell>
          <cell r="S659">
            <v>7362.362229418574</v>
          </cell>
          <cell r="T659">
            <v>7807.177014624623</v>
          </cell>
          <cell r="U659">
            <v>8251.991799830668</v>
          </cell>
          <cell r="V659">
            <v>8251.991799830668</v>
          </cell>
          <cell r="W659">
            <v>8251.991799830668</v>
          </cell>
          <cell r="X659">
            <v>8251.991799830668</v>
          </cell>
          <cell r="Y659">
            <v>8251.991799830668</v>
          </cell>
          <cell r="Z659">
            <v>8251.991799830668</v>
          </cell>
          <cell r="AA659">
            <v>8251.991799830668</v>
          </cell>
          <cell r="AB659">
            <v>8251.991799830668</v>
          </cell>
          <cell r="AC659">
            <v>8251.991799830668</v>
          </cell>
          <cell r="AD659">
            <v>8251.991799830668</v>
          </cell>
          <cell r="AE659">
            <v>8251.991799830668</v>
          </cell>
          <cell r="AF659">
            <v>8251.991799830668</v>
          </cell>
          <cell r="AG659">
            <v>8251.991799830668</v>
          </cell>
          <cell r="AH659">
            <v>8251.991799830668</v>
          </cell>
          <cell r="AI659">
            <v>8251.991799830668</v>
          </cell>
          <cell r="AJ659">
            <v>8251.991799830668</v>
          </cell>
          <cell r="AL659">
            <v>199825.52450539946</v>
          </cell>
        </row>
        <row r="660">
          <cell r="A660" t="str">
            <v> - ставка</v>
          </cell>
          <cell r="B660" t="str">
            <v> - tax rate</v>
          </cell>
          <cell r="D660" t="str">
            <v>%</v>
          </cell>
          <cell r="F660">
            <v>0.015</v>
          </cell>
          <cell r="G660">
            <v>0.015</v>
          </cell>
          <cell r="H660">
            <v>0.015</v>
          </cell>
          <cell r="I660">
            <v>0.015</v>
          </cell>
          <cell r="J660">
            <v>0.015</v>
          </cell>
          <cell r="K660">
            <v>0.015</v>
          </cell>
          <cell r="L660">
            <v>0.015</v>
          </cell>
          <cell r="M660">
            <v>0.015</v>
          </cell>
          <cell r="N660">
            <v>0.015</v>
          </cell>
          <cell r="O660">
            <v>0.015</v>
          </cell>
          <cell r="P660">
            <v>0.015</v>
          </cell>
          <cell r="Q660">
            <v>0.015</v>
          </cell>
          <cell r="R660">
            <v>0.015</v>
          </cell>
          <cell r="S660">
            <v>0.015</v>
          </cell>
          <cell r="T660">
            <v>0.015</v>
          </cell>
          <cell r="U660">
            <v>0.015</v>
          </cell>
          <cell r="V660">
            <v>0.015</v>
          </cell>
          <cell r="W660">
            <v>0.015</v>
          </cell>
          <cell r="X660">
            <v>0.015</v>
          </cell>
          <cell r="Y660">
            <v>0.015</v>
          </cell>
          <cell r="Z660">
            <v>0.015</v>
          </cell>
          <cell r="AA660">
            <v>0.015</v>
          </cell>
          <cell r="AB660">
            <v>0.015</v>
          </cell>
          <cell r="AC660">
            <v>0.015</v>
          </cell>
          <cell r="AD660">
            <v>0.015</v>
          </cell>
          <cell r="AE660">
            <v>0.015</v>
          </cell>
          <cell r="AF660">
            <v>0.015</v>
          </cell>
          <cell r="AG660">
            <v>0.015</v>
          </cell>
          <cell r="AH660">
            <v>0.015</v>
          </cell>
          <cell r="AI660">
            <v>0.015</v>
          </cell>
          <cell r="AJ660">
            <v>0.015</v>
          </cell>
        </row>
        <row r="661">
          <cell r="A661" t="str">
            <v> - период уплаты</v>
          </cell>
          <cell r="B661" t="str">
            <v> - payment period</v>
          </cell>
          <cell r="D661" t="str">
            <v>дни</v>
          </cell>
          <cell r="F661">
            <v>30</v>
          </cell>
          <cell r="G661">
            <v>30</v>
          </cell>
          <cell r="H661">
            <v>30</v>
          </cell>
          <cell r="I661">
            <v>30</v>
          </cell>
          <cell r="J661">
            <v>30</v>
          </cell>
          <cell r="K661">
            <v>30</v>
          </cell>
          <cell r="L661">
            <v>30</v>
          </cell>
          <cell r="M661">
            <v>30</v>
          </cell>
          <cell r="N661">
            <v>30</v>
          </cell>
          <cell r="O661">
            <v>30</v>
          </cell>
          <cell r="P661">
            <v>30</v>
          </cell>
          <cell r="Q661">
            <v>30</v>
          </cell>
          <cell r="R661">
            <v>30</v>
          </cell>
          <cell r="S661">
            <v>30</v>
          </cell>
          <cell r="T661">
            <v>30</v>
          </cell>
          <cell r="U661">
            <v>30</v>
          </cell>
          <cell r="V661">
            <v>30</v>
          </cell>
          <cell r="W661">
            <v>30</v>
          </cell>
          <cell r="X661">
            <v>30</v>
          </cell>
          <cell r="Y661">
            <v>30</v>
          </cell>
          <cell r="Z661">
            <v>30</v>
          </cell>
          <cell r="AA661">
            <v>30</v>
          </cell>
          <cell r="AB661">
            <v>30</v>
          </cell>
          <cell r="AC661">
            <v>30</v>
          </cell>
          <cell r="AD661">
            <v>30</v>
          </cell>
          <cell r="AE661">
            <v>30</v>
          </cell>
          <cell r="AF661">
            <v>30</v>
          </cell>
          <cell r="AG661">
            <v>30</v>
          </cell>
          <cell r="AH661">
            <v>30</v>
          </cell>
          <cell r="AI661">
            <v>30</v>
          </cell>
          <cell r="AJ661">
            <v>30</v>
          </cell>
        </row>
        <row r="662">
          <cell r="A662" t="str">
            <v>Налог как краткосрочный пассив</v>
          </cell>
          <cell r="B662" t="str">
            <v>Tax as short-term liabilities </v>
          </cell>
          <cell r="D662" t="str">
            <v>тыс.руб.</v>
          </cell>
          <cell r="E662" t="str">
            <v>liab,del_str</v>
          </cell>
          <cell r="F662">
            <v>0</v>
          </cell>
          <cell r="G662">
            <v>0</v>
          </cell>
          <cell r="H662">
            <v>105.3865075334773</v>
          </cell>
          <cell r="I662">
            <v>122.63826506695462</v>
          </cell>
          <cell r="J662">
            <v>143.81598969330452</v>
          </cell>
          <cell r="K662">
            <v>164.99371431965443</v>
          </cell>
          <cell r="L662">
            <v>186.1714389460043</v>
          </cell>
          <cell r="M662">
            <v>202.87658998185745</v>
          </cell>
          <cell r="N662">
            <v>219.58174101771058</v>
          </cell>
          <cell r="O662">
            <v>236.2868920535637</v>
          </cell>
          <cell r="P662">
            <v>252.9920430894169</v>
          </cell>
          <cell r="Q662">
            <v>269.69719412526996</v>
          </cell>
          <cell r="R662">
            <v>288.2311435088552</v>
          </cell>
          <cell r="S662">
            <v>306.7650928924406</v>
          </cell>
          <cell r="T662">
            <v>325.29904227602594</v>
          </cell>
          <cell r="U662">
            <v>343.8329916596112</v>
          </cell>
          <cell r="V662">
            <v>343.8329916596112</v>
          </cell>
          <cell r="W662">
            <v>343.8329916596112</v>
          </cell>
          <cell r="X662">
            <v>343.8329916596112</v>
          </cell>
          <cell r="Y662">
            <v>343.8329916596112</v>
          </cell>
          <cell r="Z662">
            <v>343.8329916596112</v>
          </cell>
          <cell r="AA662">
            <v>343.8329916596112</v>
          </cell>
          <cell r="AB662">
            <v>343.8329916596112</v>
          </cell>
          <cell r="AC662">
            <v>343.8329916596112</v>
          </cell>
          <cell r="AD662">
            <v>343.8329916596112</v>
          </cell>
          <cell r="AE662">
            <v>343.8329916596112</v>
          </cell>
          <cell r="AF662">
            <v>343.8329916596112</v>
          </cell>
          <cell r="AG662">
            <v>343.8329916596112</v>
          </cell>
          <cell r="AH662">
            <v>343.8329916596112</v>
          </cell>
          <cell r="AI662">
            <v>343.8329916596112</v>
          </cell>
          <cell r="AJ662">
            <v>343.8329916596112</v>
          </cell>
          <cell r="AL662">
            <v>8326.063521058315</v>
          </cell>
        </row>
        <row r="664">
          <cell r="A664" t="str">
            <v>Сбор на нужды образовательных учреждений</v>
          </cell>
          <cell r="B664" t="str">
            <v>Education needs tax</v>
          </cell>
          <cell r="D664" t="str">
            <v>тыс.руб.</v>
          </cell>
          <cell r="E664" t="str">
            <v>tax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L664">
            <v>0</v>
          </cell>
        </row>
        <row r="665">
          <cell r="A665" t="str">
            <v> - ставка</v>
          </cell>
          <cell r="B665" t="str">
            <v> - tax rate</v>
          </cell>
          <cell r="D665" t="str">
            <v>%</v>
          </cell>
          <cell r="F665">
            <v>0.01</v>
          </cell>
          <cell r="G665">
            <v>0.01</v>
          </cell>
          <cell r="H665">
            <v>0.01</v>
          </cell>
          <cell r="I665">
            <v>0.01</v>
          </cell>
          <cell r="J665">
            <v>0.01</v>
          </cell>
          <cell r="K665">
            <v>0.01</v>
          </cell>
          <cell r="L665">
            <v>0.01</v>
          </cell>
          <cell r="M665">
            <v>0.01</v>
          </cell>
          <cell r="N665">
            <v>0.01</v>
          </cell>
          <cell r="O665">
            <v>0.01</v>
          </cell>
          <cell r="P665">
            <v>0.01</v>
          </cell>
          <cell r="Q665">
            <v>0.01</v>
          </cell>
          <cell r="R665">
            <v>0.01</v>
          </cell>
          <cell r="S665">
            <v>0.01</v>
          </cell>
          <cell r="T665">
            <v>0.01</v>
          </cell>
          <cell r="U665">
            <v>0.01</v>
          </cell>
          <cell r="V665">
            <v>0.01</v>
          </cell>
          <cell r="W665">
            <v>0.01</v>
          </cell>
          <cell r="X665">
            <v>0.01</v>
          </cell>
          <cell r="Y665">
            <v>0.01</v>
          </cell>
          <cell r="Z665">
            <v>0.01</v>
          </cell>
          <cell r="AA665">
            <v>0.01</v>
          </cell>
          <cell r="AB665">
            <v>0.01</v>
          </cell>
          <cell r="AC665">
            <v>0.01</v>
          </cell>
          <cell r="AD665">
            <v>0.01</v>
          </cell>
          <cell r="AE665">
            <v>0.01</v>
          </cell>
          <cell r="AF665">
            <v>0.01</v>
          </cell>
          <cell r="AG665">
            <v>0.01</v>
          </cell>
          <cell r="AH665">
            <v>0.01</v>
          </cell>
          <cell r="AI665">
            <v>0.01</v>
          </cell>
          <cell r="AJ665">
            <v>0.01</v>
          </cell>
        </row>
        <row r="666">
          <cell r="A666" t="str">
            <v> - период уплаты</v>
          </cell>
          <cell r="B666" t="str">
            <v> - payment period</v>
          </cell>
          <cell r="D666" t="str">
            <v>дни</v>
          </cell>
          <cell r="F666">
            <v>30</v>
          </cell>
          <cell r="G666">
            <v>30</v>
          </cell>
          <cell r="H666">
            <v>30</v>
          </cell>
          <cell r="I666">
            <v>30</v>
          </cell>
          <cell r="J666">
            <v>30</v>
          </cell>
          <cell r="K666">
            <v>30</v>
          </cell>
          <cell r="L666">
            <v>30</v>
          </cell>
          <cell r="M666">
            <v>30</v>
          </cell>
          <cell r="N666">
            <v>30</v>
          </cell>
          <cell r="O666">
            <v>30</v>
          </cell>
          <cell r="P666">
            <v>30</v>
          </cell>
          <cell r="Q666">
            <v>30</v>
          </cell>
          <cell r="R666">
            <v>30</v>
          </cell>
          <cell r="S666">
            <v>30</v>
          </cell>
          <cell r="T666">
            <v>30</v>
          </cell>
          <cell r="U666">
            <v>30</v>
          </cell>
          <cell r="V666">
            <v>30</v>
          </cell>
          <cell r="W666">
            <v>30</v>
          </cell>
          <cell r="X666">
            <v>30</v>
          </cell>
          <cell r="Y666">
            <v>30</v>
          </cell>
          <cell r="Z666">
            <v>30</v>
          </cell>
          <cell r="AA666">
            <v>30</v>
          </cell>
          <cell r="AB666">
            <v>30</v>
          </cell>
          <cell r="AC666">
            <v>30</v>
          </cell>
          <cell r="AD666">
            <v>30</v>
          </cell>
          <cell r="AE666">
            <v>30</v>
          </cell>
          <cell r="AF666">
            <v>30</v>
          </cell>
          <cell r="AG666">
            <v>30</v>
          </cell>
          <cell r="AH666">
            <v>30</v>
          </cell>
          <cell r="AI666">
            <v>30</v>
          </cell>
          <cell r="AJ666">
            <v>30</v>
          </cell>
        </row>
        <row r="667">
          <cell r="A667" t="str">
            <v>Налог как краткосрочный пассив</v>
          </cell>
          <cell r="B667" t="str">
            <v>Tax as short-term liabilities </v>
          </cell>
          <cell r="D667" t="str">
            <v>тыс.руб.</v>
          </cell>
          <cell r="E667" t="str">
            <v>liab,del_str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L667">
            <v>0</v>
          </cell>
        </row>
        <row r="669">
          <cell r="A669" t="str">
            <v>Сбор на нужды правоохранительных органов</v>
          </cell>
          <cell r="B669" t="str">
            <v>Police tax</v>
          </cell>
          <cell r="D669" t="str">
            <v>тыс.руб.</v>
          </cell>
          <cell r="E669" t="str">
            <v>tax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L669">
            <v>0</v>
          </cell>
        </row>
        <row r="670">
          <cell r="A670" t="str">
            <v> - ставка</v>
          </cell>
          <cell r="B670" t="str">
            <v> - tax rate</v>
          </cell>
          <cell r="D670" t="str">
            <v>%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</row>
        <row r="671">
          <cell r="A671" t="str">
            <v> - период уплаты</v>
          </cell>
          <cell r="B671" t="str">
            <v> - payment period</v>
          </cell>
          <cell r="D671" t="str">
            <v>дни</v>
          </cell>
          <cell r="F671">
            <v>30</v>
          </cell>
          <cell r="G671">
            <v>30</v>
          </cell>
          <cell r="H671">
            <v>30</v>
          </cell>
          <cell r="I671">
            <v>30</v>
          </cell>
          <cell r="J671">
            <v>30</v>
          </cell>
          <cell r="K671">
            <v>30</v>
          </cell>
          <cell r="L671">
            <v>30</v>
          </cell>
          <cell r="M671">
            <v>30</v>
          </cell>
          <cell r="N671">
            <v>30</v>
          </cell>
          <cell r="O671">
            <v>30</v>
          </cell>
          <cell r="P671">
            <v>30</v>
          </cell>
          <cell r="Q671">
            <v>30</v>
          </cell>
          <cell r="R671">
            <v>30</v>
          </cell>
          <cell r="S671">
            <v>30</v>
          </cell>
          <cell r="T671">
            <v>30</v>
          </cell>
          <cell r="U671">
            <v>30</v>
          </cell>
          <cell r="V671">
            <v>30</v>
          </cell>
          <cell r="W671">
            <v>30</v>
          </cell>
          <cell r="X671">
            <v>30</v>
          </cell>
          <cell r="Y671">
            <v>30</v>
          </cell>
          <cell r="Z671">
            <v>30</v>
          </cell>
          <cell r="AA671">
            <v>30</v>
          </cell>
          <cell r="AB671">
            <v>30</v>
          </cell>
          <cell r="AC671">
            <v>30</v>
          </cell>
          <cell r="AD671">
            <v>30</v>
          </cell>
          <cell r="AE671">
            <v>30</v>
          </cell>
          <cell r="AF671">
            <v>30</v>
          </cell>
          <cell r="AG671">
            <v>30</v>
          </cell>
          <cell r="AH671">
            <v>30</v>
          </cell>
          <cell r="AI671">
            <v>30</v>
          </cell>
          <cell r="AJ671">
            <v>30</v>
          </cell>
        </row>
        <row r="672">
          <cell r="A672" t="str">
            <v>Налог как краткосрочный пассив</v>
          </cell>
          <cell r="B672" t="str">
            <v>Tax as short-term liabilities </v>
          </cell>
          <cell r="D672" t="str">
            <v>тыс.руб.</v>
          </cell>
          <cell r="E672" t="str">
            <v>liab,del_str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L672">
            <v>0</v>
          </cell>
        </row>
        <row r="674">
          <cell r="A674" t="str">
            <v>Наименование налога</v>
          </cell>
          <cell r="B674" t="str">
            <v>Other tax</v>
          </cell>
          <cell r="D674" t="str">
            <v>тыс.руб.</v>
          </cell>
          <cell r="E674" t="str">
            <v>tax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L674">
            <v>0</v>
          </cell>
        </row>
        <row r="675">
          <cell r="A675" t="str">
            <v> - ставка</v>
          </cell>
          <cell r="B675" t="str">
            <v> - tax rate</v>
          </cell>
          <cell r="D675" t="str">
            <v>%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A676" t="str">
            <v> - период уплаты</v>
          </cell>
          <cell r="B676" t="str">
            <v> - payment period</v>
          </cell>
          <cell r="D676" t="str">
            <v>дни</v>
          </cell>
          <cell r="F676">
            <v>90</v>
          </cell>
          <cell r="G676">
            <v>90</v>
          </cell>
          <cell r="H676">
            <v>90</v>
          </cell>
          <cell r="I676">
            <v>90</v>
          </cell>
          <cell r="J676">
            <v>90</v>
          </cell>
          <cell r="K676">
            <v>90</v>
          </cell>
          <cell r="L676">
            <v>90</v>
          </cell>
          <cell r="M676">
            <v>90</v>
          </cell>
          <cell r="N676">
            <v>90</v>
          </cell>
          <cell r="O676">
            <v>90</v>
          </cell>
          <cell r="P676">
            <v>90</v>
          </cell>
          <cell r="Q676">
            <v>90</v>
          </cell>
          <cell r="R676">
            <v>90</v>
          </cell>
          <cell r="S676">
            <v>90</v>
          </cell>
          <cell r="T676">
            <v>90</v>
          </cell>
          <cell r="U676">
            <v>90</v>
          </cell>
          <cell r="V676">
            <v>90</v>
          </cell>
          <cell r="W676">
            <v>90</v>
          </cell>
          <cell r="X676">
            <v>90</v>
          </cell>
          <cell r="Y676">
            <v>90</v>
          </cell>
          <cell r="Z676">
            <v>90</v>
          </cell>
          <cell r="AA676">
            <v>90</v>
          </cell>
          <cell r="AB676">
            <v>90</v>
          </cell>
          <cell r="AC676">
            <v>90</v>
          </cell>
          <cell r="AD676">
            <v>90</v>
          </cell>
          <cell r="AE676">
            <v>90</v>
          </cell>
          <cell r="AF676">
            <v>90</v>
          </cell>
          <cell r="AG676">
            <v>90</v>
          </cell>
          <cell r="AH676">
            <v>90</v>
          </cell>
          <cell r="AI676">
            <v>90</v>
          </cell>
          <cell r="AJ676">
            <v>90</v>
          </cell>
        </row>
        <row r="677">
          <cell r="A677" t="str">
            <v> - налогооблагаемая база</v>
          </cell>
          <cell r="B677" t="str">
            <v> - basis of tax payment</v>
          </cell>
          <cell r="D677" t="str">
            <v>тыс.руб.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L677">
            <v>0</v>
          </cell>
        </row>
        <row r="678">
          <cell r="A678" t="str">
            <v>Налог как краткосрочный пассив</v>
          </cell>
          <cell r="B678" t="str">
            <v>Tax as short-term liabilities </v>
          </cell>
          <cell r="D678" t="str">
            <v>тыс.руб.</v>
          </cell>
          <cell r="E678" t="str">
            <v>liab,del_str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L678">
            <v>0</v>
          </cell>
        </row>
        <row r="680">
          <cell r="A680" t="str">
            <v> = Итого платежи по налогам, относимым на фин.результаты</v>
          </cell>
          <cell r="B680" t="str">
            <v> = Total tax payments, refered on financial outcomes</v>
          </cell>
          <cell r="D680" t="str">
            <v>тыс.руб.</v>
          </cell>
          <cell r="F680">
            <v>0</v>
          </cell>
          <cell r="G680">
            <v>0</v>
          </cell>
          <cell r="H680">
            <v>5009.741633431425</v>
          </cell>
          <cell r="I680">
            <v>5513.7179697908205</v>
          </cell>
          <cell r="J680">
            <v>5990.233357069654</v>
          </cell>
          <cell r="K680">
            <v>6472.065334738985</v>
          </cell>
          <cell r="L680">
            <v>6953.897312408315</v>
          </cell>
          <cell r="M680">
            <v>7321.682285671728</v>
          </cell>
          <cell r="N680">
            <v>7682.762020701144</v>
          </cell>
          <cell r="O680">
            <v>8043.841755730562</v>
          </cell>
          <cell r="P680">
            <v>8404.92149075998</v>
          </cell>
          <cell r="Q680">
            <v>8766.001225789394</v>
          </cell>
          <cell r="R680">
            <v>9173.695356371358</v>
          </cell>
          <cell r="S680">
            <v>9584.112722160302</v>
          </cell>
          <cell r="T680">
            <v>9994.530087949244</v>
          </cell>
          <cell r="U680">
            <v>10404.947453738185</v>
          </cell>
          <cell r="V680">
            <v>10343.866781029632</v>
          </cell>
          <cell r="W680">
            <v>10256.102855029632</v>
          </cell>
          <cell r="X680">
            <v>10168.338929029633</v>
          </cell>
          <cell r="Y680">
            <v>10080.575003029633</v>
          </cell>
          <cell r="Z680">
            <v>9992.811077029633</v>
          </cell>
          <cell r="AA680">
            <v>9905.047151029632</v>
          </cell>
          <cell r="AB680">
            <v>9817.283225029632</v>
          </cell>
          <cell r="AC680">
            <v>9729.519299029633</v>
          </cell>
          <cell r="AD680">
            <v>9641.755373029633</v>
          </cell>
          <cell r="AE680">
            <v>9553.991447029633</v>
          </cell>
          <cell r="AF680">
            <v>9466.227521029632</v>
          </cell>
          <cell r="AG680">
            <v>9378.463595029632</v>
          </cell>
          <cell r="AH680">
            <v>9290.699669029633</v>
          </cell>
          <cell r="AI680">
            <v>9245.631707029632</v>
          </cell>
          <cell r="AJ680">
            <v>9244.445708029632</v>
          </cell>
          <cell r="AL680">
            <v>255430.90934675554</v>
          </cell>
        </row>
        <row r="681">
          <cell r="A681" t="str">
            <v> = Налоги как краткосрочный пассив</v>
          </cell>
          <cell r="B681" t="str">
            <v> = Taxes as short-term liabilities </v>
          </cell>
          <cell r="D681" t="str">
            <v>тыс.руб.</v>
          </cell>
          <cell r="E681" t="str">
            <v>,del_str</v>
          </cell>
          <cell r="F681">
            <v>0</v>
          </cell>
          <cell r="G681">
            <v>0</v>
          </cell>
          <cell r="H681">
            <v>415.4446891119735</v>
          </cell>
          <cell r="I681">
            <v>443.9382160899433</v>
          </cell>
          <cell r="J681">
            <v>461.1471902470977</v>
          </cell>
          <cell r="K681">
            <v>479.02073820306424</v>
          </cell>
          <cell r="L681">
            <v>496.89428615903074</v>
          </cell>
          <cell r="M681">
            <v>509.45710574525106</v>
          </cell>
          <cell r="N681">
            <v>521.1817705522219</v>
          </cell>
          <cell r="O681">
            <v>532.9064353591928</v>
          </cell>
          <cell r="P681">
            <v>544.6311001661637</v>
          </cell>
          <cell r="Q681">
            <v>556.3557649731345</v>
          </cell>
          <cell r="R681">
            <v>570.2496325287094</v>
          </cell>
          <cell r="S681">
            <v>584.4839044851566</v>
          </cell>
          <cell r="T681">
            <v>598.7181764416036</v>
          </cell>
          <cell r="U681">
            <v>612.9524483980508</v>
          </cell>
          <cell r="V681">
            <v>605.3173643094817</v>
          </cell>
          <cell r="W681">
            <v>594.3468735594817</v>
          </cell>
          <cell r="X681">
            <v>583.3763828094817</v>
          </cell>
          <cell r="Y681">
            <v>572.4058920594816</v>
          </cell>
          <cell r="Z681">
            <v>561.4354013094817</v>
          </cell>
          <cell r="AA681">
            <v>550.4649105594817</v>
          </cell>
          <cell r="AB681">
            <v>539.4944198094818</v>
          </cell>
          <cell r="AC681">
            <v>528.5239290594817</v>
          </cell>
          <cell r="AD681">
            <v>517.5534383094817</v>
          </cell>
          <cell r="AE681">
            <v>506.5829475594818</v>
          </cell>
          <cell r="AF681">
            <v>495.6124568094818</v>
          </cell>
          <cell r="AG681">
            <v>484.6419660594818</v>
          </cell>
          <cell r="AH681">
            <v>473.6714753094818</v>
          </cell>
          <cell r="AI681">
            <v>468.0379800594817</v>
          </cell>
          <cell r="AJ681">
            <v>467.8897301844816</v>
          </cell>
          <cell r="AL681">
            <v>15276.73662622782</v>
          </cell>
        </row>
        <row r="683">
          <cell r="A683" t="str">
            <v>4. НАЛОГ НА ПРИБЫЛЬ</v>
          </cell>
          <cell r="B683" t="str">
            <v>4. PROFIT TAX</v>
          </cell>
        </row>
        <row r="685">
          <cell r="A685" t="str">
            <v>Сумма к выплате</v>
          </cell>
          <cell r="B685" t="str">
            <v>Profit tax (to be paid)</v>
          </cell>
          <cell r="D685" t="str">
            <v>тыс.руб.</v>
          </cell>
          <cell r="F685">
            <v>0</v>
          </cell>
          <cell r="G685">
            <v>0</v>
          </cell>
          <cell r="H685">
            <v>13112.076940831746</v>
          </cell>
          <cell r="I685">
            <v>15166.28814656078</v>
          </cell>
          <cell r="J685">
            <v>18686.477330932223</v>
          </cell>
          <cell r="K685">
            <v>22290.350533609937</v>
          </cell>
          <cell r="L685">
            <v>25889.97573628766</v>
          </cell>
          <cell r="M685">
            <v>29128.668797112037</v>
          </cell>
          <cell r="N685">
            <v>32363.763916712596</v>
          </cell>
          <cell r="O685">
            <v>35593.495621961134</v>
          </cell>
          <cell r="P685">
            <v>38817.70301042715</v>
          </cell>
          <cell r="Q685">
            <v>42036.22035260706</v>
          </cell>
          <cell r="R685">
            <v>45447.749013228924</v>
          </cell>
          <cell r="S685">
            <v>48852.58752729627</v>
          </cell>
          <cell r="T685">
            <v>52251.20837415562</v>
          </cell>
          <cell r="U685">
            <v>55643.425023790696</v>
          </cell>
          <cell r="V685">
            <v>55431.61062406748</v>
          </cell>
          <cell r="W685">
            <v>55219.40599229898</v>
          </cell>
          <cell r="X685">
            <v>55000.20332131024</v>
          </cell>
          <cell r="Y685">
            <v>54773.792669924645</v>
          </cell>
          <cell r="Z685">
            <v>54539.95779873028</v>
          </cell>
          <cell r="AA685">
            <v>54298.475981132884</v>
          </cell>
          <cell r="AB685">
            <v>54049.11780874037</v>
          </cell>
          <cell r="AC685">
            <v>53791.64699090886</v>
          </cell>
          <cell r="AD685">
            <v>53525.82014827522</v>
          </cell>
          <cell r="AE685">
            <v>53251.386600095364</v>
          </cell>
          <cell r="AF685">
            <v>52968.08814520292</v>
          </cell>
          <cell r="AG685">
            <v>52675.6588363965</v>
          </cell>
          <cell r="AH685">
            <v>52373.82474805869</v>
          </cell>
          <cell r="AI685">
            <v>53076.75984144353</v>
          </cell>
          <cell r="AJ685">
            <v>52762.94657310354</v>
          </cell>
          <cell r="AL685">
            <v>1283018.686405203</v>
          </cell>
        </row>
        <row r="686">
          <cell r="A686" t="str">
            <v> - ставка</v>
          </cell>
          <cell r="B686" t="str">
            <v> - tax rate</v>
          </cell>
          <cell r="D686" t="str">
            <v>%</v>
          </cell>
          <cell r="F686">
            <v>0.24</v>
          </cell>
          <cell r="G686">
            <v>0.24</v>
          </cell>
          <cell r="H686">
            <v>0.24</v>
          </cell>
          <cell r="I686">
            <v>0.24</v>
          </cell>
          <cell r="J686">
            <v>0.24</v>
          </cell>
          <cell r="K686">
            <v>0.24</v>
          </cell>
          <cell r="L686">
            <v>0.24</v>
          </cell>
          <cell r="M686">
            <v>0.24</v>
          </cell>
          <cell r="N686">
            <v>0.24</v>
          </cell>
          <cell r="O686">
            <v>0.24</v>
          </cell>
          <cell r="P686">
            <v>0.24</v>
          </cell>
          <cell r="Q686">
            <v>0.24</v>
          </cell>
          <cell r="R686">
            <v>0.24</v>
          </cell>
          <cell r="S686">
            <v>0.24</v>
          </cell>
          <cell r="T686">
            <v>0.24</v>
          </cell>
          <cell r="U686">
            <v>0.24</v>
          </cell>
          <cell r="V686">
            <v>0.24</v>
          </cell>
          <cell r="W686">
            <v>0.24</v>
          </cell>
          <cell r="X686">
            <v>0.24</v>
          </cell>
          <cell r="Y686">
            <v>0.24</v>
          </cell>
          <cell r="Z686">
            <v>0.24</v>
          </cell>
          <cell r="AA686">
            <v>0.24</v>
          </cell>
          <cell r="AB686">
            <v>0.24</v>
          </cell>
          <cell r="AC686">
            <v>0.24</v>
          </cell>
          <cell r="AD686">
            <v>0.24</v>
          </cell>
          <cell r="AE686">
            <v>0.24</v>
          </cell>
          <cell r="AF686">
            <v>0.24</v>
          </cell>
          <cell r="AG686">
            <v>0.24</v>
          </cell>
          <cell r="AH686">
            <v>0.24</v>
          </cell>
          <cell r="AI686">
            <v>0.24</v>
          </cell>
          <cell r="AJ686">
            <v>0.24</v>
          </cell>
        </row>
        <row r="687">
          <cell r="A687" t="str">
            <v> - период уплаты</v>
          </cell>
          <cell r="B687" t="str">
            <v> - payment period</v>
          </cell>
          <cell r="D687" t="str">
            <v>дни</v>
          </cell>
          <cell r="F687">
            <v>90</v>
          </cell>
          <cell r="G687">
            <v>90</v>
          </cell>
          <cell r="H687">
            <v>90</v>
          </cell>
          <cell r="I687">
            <v>90</v>
          </cell>
          <cell r="J687">
            <v>90</v>
          </cell>
          <cell r="K687">
            <v>90</v>
          </cell>
          <cell r="L687">
            <v>90</v>
          </cell>
          <cell r="M687">
            <v>90</v>
          </cell>
          <cell r="N687">
            <v>90</v>
          </cell>
          <cell r="O687">
            <v>90</v>
          </cell>
          <cell r="P687">
            <v>90</v>
          </cell>
          <cell r="Q687">
            <v>90</v>
          </cell>
          <cell r="R687">
            <v>90</v>
          </cell>
          <cell r="S687">
            <v>90</v>
          </cell>
          <cell r="T687">
            <v>90</v>
          </cell>
          <cell r="U687">
            <v>90</v>
          </cell>
          <cell r="V687">
            <v>90</v>
          </cell>
          <cell r="W687">
            <v>90</v>
          </cell>
          <cell r="X687">
            <v>90</v>
          </cell>
          <cell r="Y687">
            <v>90</v>
          </cell>
          <cell r="Z687">
            <v>90</v>
          </cell>
          <cell r="AA687">
            <v>90</v>
          </cell>
          <cell r="AB687">
            <v>90</v>
          </cell>
          <cell r="AC687">
            <v>90</v>
          </cell>
          <cell r="AD687">
            <v>90</v>
          </cell>
          <cell r="AE687">
            <v>90</v>
          </cell>
          <cell r="AF687">
            <v>90</v>
          </cell>
          <cell r="AG687">
            <v>90</v>
          </cell>
          <cell r="AH687">
            <v>90</v>
          </cell>
          <cell r="AI687">
            <v>90</v>
          </cell>
          <cell r="AJ687">
            <v>90</v>
          </cell>
        </row>
        <row r="688">
          <cell r="A688" t="str">
            <v>Налогооблагаемая прибыль без учета льгот</v>
          </cell>
          <cell r="B688" t="str">
            <v>Taxable profit without allowances</v>
          </cell>
          <cell r="D688" t="str">
            <v>тыс.руб.</v>
          </cell>
          <cell r="F688">
            <v>0</v>
          </cell>
          <cell r="G688">
            <v>0</v>
          </cell>
          <cell r="H688">
            <v>54633.65392013228</v>
          </cell>
          <cell r="I688">
            <v>63192.86727733659</v>
          </cell>
          <cell r="J688">
            <v>77860.3222122176</v>
          </cell>
          <cell r="K688">
            <v>92876.46055670807</v>
          </cell>
          <cell r="L688">
            <v>107874.89890119858</v>
          </cell>
          <cell r="M688">
            <v>121369.45332130016</v>
          </cell>
          <cell r="N688">
            <v>134849.01631963582</v>
          </cell>
          <cell r="O688">
            <v>148306.2317581714</v>
          </cell>
          <cell r="P688">
            <v>161740.42921011313</v>
          </cell>
          <cell r="Q688">
            <v>175150.91813586274</v>
          </cell>
          <cell r="R688">
            <v>189365.62088845385</v>
          </cell>
          <cell r="S688">
            <v>203552.44803040114</v>
          </cell>
          <cell r="T688">
            <v>217713.36822564842</v>
          </cell>
          <cell r="U688">
            <v>231847.60426579457</v>
          </cell>
          <cell r="V688">
            <v>230965.04426694784</v>
          </cell>
          <cell r="W688">
            <v>230080.85830124578</v>
          </cell>
          <cell r="X688">
            <v>229167.51383879269</v>
          </cell>
          <cell r="Y688">
            <v>228224.13612468602</v>
          </cell>
          <cell r="Z688">
            <v>227249.82416137616</v>
          </cell>
          <cell r="AA688">
            <v>226243.64992138703</v>
          </cell>
          <cell r="AB688">
            <v>225204.6575364182</v>
          </cell>
          <cell r="AC688">
            <v>224131.86246212028</v>
          </cell>
          <cell r="AD688">
            <v>223024.25061781344</v>
          </cell>
          <cell r="AE688">
            <v>221880.77750039735</v>
          </cell>
          <cell r="AF688">
            <v>220700.36727167884</v>
          </cell>
          <cell r="AG688">
            <v>219481.91181831874</v>
          </cell>
          <cell r="AH688">
            <v>218224.26978357788</v>
          </cell>
          <cell r="AI688">
            <v>221153.1660060147</v>
          </cell>
          <cell r="AJ688">
            <v>219845.61072126476</v>
          </cell>
          <cell r="AL688">
            <v>5345911.193355014</v>
          </cell>
        </row>
        <row r="689">
          <cell r="A689" t="str">
            <v> - прямые вычеты из прибыли</v>
          </cell>
          <cell r="B689" t="str">
            <v> - direct income deductions </v>
          </cell>
          <cell r="D689" t="str">
            <v>тыс.руб.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L689">
            <v>0</v>
          </cell>
        </row>
        <row r="690">
          <cell r="A690" t="str">
            <v> - реинвестируемая прибыль</v>
          </cell>
          <cell r="B690" t="str">
            <v> - reinvestment profit </v>
          </cell>
          <cell r="D690" t="str">
            <v>тыс.руб.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L690">
            <v>0</v>
          </cell>
        </row>
        <row r="691">
          <cell r="A691" t="str">
            <v>Налогооблагаемая прибыль с учетом льгот</v>
          </cell>
          <cell r="B691" t="str">
            <v>Taxable profit with allowance</v>
          </cell>
          <cell r="D691" t="str">
            <v>тыс.руб.</v>
          </cell>
          <cell r="F691">
            <v>0</v>
          </cell>
          <cell r="G691">
            <v>0</v>
          </cell>
          <cell r="H691">
            <v>54633.65392013228</v>
          </cell>
          <cell r="I691">
            <v>63192.86727733659</v>
          </cell>
          <cell r="J691">
            <v>77860.3222122176</v>
          </cell>
          <cell r="K691">
            <v>92876.46055670807</v>
          </cell>
          <cell r="L691">
            <v>107874.89890119858</v>
          </cell>
          <cell r="M691">
            <v>121369.45332130016</v>
          </cell>
          <cell r="N691">
            <v>134849.01631963582</v>
          </cell>
          <cell r="O691">
            <v>148306.2317581714</v>
          </cell>
          <cell r="P691">
            <v>161740.42921011313</v>
          </cell>
          <cell r="Q691">
            <v>175150.91813586274</v>
          </cell>
          <cell r="R691">
            <v>189365.62088845385</v>
          </cell>
          <cell r="S691">
            <v>203552.44803040114</v>
          </cell>
          <cell r="T691">
            <v>217713.36822564842</v>
          </cell>
          <cell r="U691">
            <v>231847.60426579457</v>
          </cell>
          <cell r="V691">
            <v>230965.04426694784</v>
          </cell>
          <cell r="W691">
            <v>230080.85830124578</v>
          </cell>
          <cell r="X691">
            <v>229167.51383879269</v>
          </cell>
          <cell r="Y691">
            <v>228224.13612468602</v>
          </cell>
          <cell r="Z691">
            <v>227249.82416137616</v>
          </cell>
          <cell r="AA691">
            <v>226243.64992138703</v>
          </cell>
          <cell r="AB691">
            <v>225204.6575364182</v>
          </cell>
          <cell r="AC691">
            <v>224131.86246212028</v>
          </cell>
          <cell r="AD691">
            <v>223024.25061781344</v>
          </cell>
          <cell r="AE691">
            <v>221880.77750039735</v>
          </cell>
          <cell r="AF691">
            <v>220700.36727167884</v>
          </cell>
          <cell r="AG691">
            <v>219481.91181831874</v>
          </cell>
          <cell r="AH691">
            <v>218224.26978357788</v>
          </cell>
          <cell r="AI691">
            <v>221153.1660060147</v>
          </cell>
          <cell r="AJ691">
            <v>219845.61072126476</v>
          </cell>
          <cell r="AL691">
            <v>5345911.193355014</v>
          </cell>
        </row>
        <row r="692">
          <cell r="E692" t="str">
            <v>,del_str</v>
          </cell>
        </row>
        <row r="693">
          <cell r="A693" t="str">
            <v>Учет реинвестирования прибыли</v>
          </cell>
          <cell r="B693" t="str">
            <v>The account  of the reinvestment profit</v>
          </cell>
          <cell r="C693">
            <v>1</v>
          </cell>
          <cell r="D693" t="str">
            <v>Да</v>
          </cell>
          <cell r="E693" t="str">
            <v>,del_str</v>
          </cell>
        </row>
        <row r="694">
          <cell r="A694" t="str">
            <v> - потребность в финансировании ПА и возврат инв.кредитов</v>
          </cell>
          <cell r="B694" t="str">
            <v> - need for financing Fixed Assets and  investment loans repayment </v>
          </cell>
          <cell r="D694" t="str">
            <v>тыс.руб.</v>
          </cell>
          <cell r="E694" t="str">
            <v>,del_str</v>
          </cell>
          <cell r="F694">
            <v>0</v>
          </cell>
          <cell r="G694">
            <v>118599.9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L694">
            <v>118599.9</v>
          </cell>
        </row>
        <row r="695">
          <cell r="A695" t="str">
            <v> - накопленный амортизационный фонд</v>
          </cell>
          <cell r="B695" t="str">
            <v> - the accumulated fund of depriciation charges</v>
          </cell>
          <cell r="D695" t="str">
            <v>тыс.руб.</v>
          </cell>
          <cell r="E695" t="str">
            <v>,del_str</v>
          </cell>
          <cell r="F695">
            <v>0</v>
          </cell>
          <cell r="G695">
            <v>0</v>
          </cell>
          <cell r="H695">
            <v>4388.1963</v>
          </cell>
          <cell r="I695">
            <v>8776.3926</v>
          </cell>
          <cell r="J695">
            <v>13164.588899999999</v>
          </cell>
          <cell r="K695">
            <v>17552.7852</v>
          </cell>
          <cell r="L695">
            <v>21940.981499999998</v>
          </cell>
          <cell r="M695">
            <v>26329.177799999998</v>
          </cell>
          <cell r="N695">
            <v>30717.374099999997</v>
          </cell>
          <cell r="O695">
            <v>35105.5704</v>
          </cell>
          <cell r="P695">
            <v>39493.76669999999</v>
          </cell>
          <cell r="Q695">
            <v>43881.96299999999</v>
          </cell>
          <cell r="R695">
            <v>48270.159299999985</v>
          </cell>
          <cell r="S695">
            <v>52658.35559999998</v>
          </cell>
          <cell r="T695">
            <v>57046.55189999998</v>
          </cell>
          <cell r="U695">
            <v>61434.74819999997</v>
          </cell>
          <cell r="V695">
            <v>65822.94449999997</v>
          </cell>
          <cell r="W695">
            <v>70211.14079999996</v>
          </cell>
          <cell r="X695">
            <v>74599.33709999996</v>
          </cell>
          <cell r="Y695">
            <v>78987.53339999996</v>
          </cell>
          <cell r="Z695">
            <v>83375.72969999995</v>
          </cell>
          <cell r="AA695">
            <v>87763.92599999995</v>
          </cell>
          <cell r="AB695">
            <v>92152.12229999994</v>
          </cell>
          <cell r="AC695">
            <v>96540.31859999994</v>
          </cell>
          <cell r="AD695">
            <v>100928.51489999994</v>
          </cell>
          <cell r="AE695">
            <v>105316.71119999993</v>
          </cell>
          <cell r="AF695">
            <v>109704.90749999993</v>
          </cell>
          <cell r="AG695">
            <v>114093.10379999992</v>
          </cell>
          <cell r="AH695">
            <v>118481.30009999992</v>
          </cell>
          <cell r="AI695">
            <v>118599.9</v>
          </cell>
          <cell r="AJ695">
            <v>118599.9</v>
          </cell>
          <cell r="AL695">
            <v>118599.9</v>
          </cell>
        </row>
        <row r="696">
          <cell r="A696" t="str">
            <v> - использование амортизационный фонд</v>
          </cell>
          <cell r="B696" t="str">
            <v> - use the fund of depriciation charges</v>
          </cell>
          <cell r="D696" t="str">
            <v>тыс.руб.</v>
          </cell>
          <cell r="E696" t="str">
            <v>,del_str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L696">
            <v>0</v>
          </cell>
        </row>
        <row r="697">
          <cell r="A697" t="str">
            <v> - потребность в финансировании за счет прибыли</v>
          </cell>
          <cell r="B697" t="str">
            <v> - need for financing at the expense of the profit </v>
          </cell>
          <cell r="D697" t="str">
            <v>тыс.руб.</v>
          </cell>
          <cell r="E697" t="str">
            <v>,del_str</v>
          </cell>
          <cell r="F697">
            <v>0</v>
          </cell>
          <cell r="G697">
            <v>118599.9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L697">
            <v>118599.9</v>
          </cell>
        </row>
        <row r="698">
          <cell r="A698" t="str">
            <v> - максимальная величина реинвестируемой прибыли</v>
          </cell>
          <cell r="B698" t="str">
            <v> - maximum size of the reinvestment profit </v>
          </cell>
          <cell r="D698" t="str">
            <v>тыс.руб.</v>
          </cell>
          <cell r="E698" t="str">
            <v>,del_str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A699" t="str">
            <v>Налог как краткосрочный пассив</v>
          </cell>
          <cell r="B699" t="str">
            <v>Tax as short-term liabilities </v>
          </cell>
          <cell r="D699" t="str">
            <v>тыс.руб.</v>
          </cell>
          <cell r="E699" t="str">
            <v>liab,del_str</v>
          </cell>
          <cell r="F699">
            <v>0</v>
          </cell>
          <cell r="G699">
            <v>0</v>
          </cell>
          <cell r="H699">
            <v>1639.0096176039683</v>
          </cell>
          <cell r="I699">
            <v>1895.7860183200976</v>
          </cell>
          <cell r="J699">
            <v>2335.809666366528</v>
          </cell>
          <cell r="K699">
            <v>2786.293816701242</v>
          </cell>
          <cell r="L699">
            <v>3236.2469670359574</v>
          </cell>
          <cell r="M699">
            <v>3641.0835996390047</v>
          </cell>
          <cell r="N699">
            <v>4045.4704895890745</v>
          </cell>
          <cell r="O699">
            <v>4449.186952745142</v>
          </cell>
          <cell r="P699">
            <v>4852.212876303393</v>
          </cell>
          <cell r="Q699">
            <v>5254.527544075882</v>
          </cell>
          <cell r="R699">
            <v>5680.9686266536155</v>
          </cell>
          <cell r="S699">
            <v>6106.573440912035</v>
          </cell>
          <cell r="T699">
            <v>6531.4010467694525</v>
          </cell>
          <cell r="U699">
            <v>6955.428127973837</v>
          </cell>
          <cell r="V699">
            <v>6928.951328008435</v>
          </cell>
          <cell r="W699">
            <v>6902.425749037373</v>
          </cell>
          <cell r="X699">
            <v>6875.025415163779</v>
          </cell>
          <cell r="Y699">
            <v>6846.724083740581</v>
          </cell>
          <cell r="Z699">
            <v>6817.494724841284</v>
          </cell>
          <cell r="AA699">
            <v>6787.3094976416105</v>
          </cell>
          <cell r="AB699">
            <v>6756.139726092546</v>
          </cell>
          <cell r="AC699">
            <v>6723.955873863607</v>
          </cell>
          <cell r="AD699">
            <v>6690.727518534403</v>
          </cell>
          <cell r="AE699">
            <v>6656.4233250119205</v>
          </cell>
          <cell r="AF699">
            <v>6621.011018150364</v>
          </cell>
          <cell r="AG699">
            <v>6584.457354549561</v>
          </cell>
          <cell r="AH699">
            <v>6546.728093507336</v>
          </cell>
          <cell r="AI699">
            <v>6634.594980180441</v>
          </cell>
          <cell r="AJ699">
            <v>6595.368321637942</v>
          </cell>
          <cell r="AL699">
            <v>160377.33580065038</v>
          </cell>
        </row>
        <row r="703">
          <cell r="A703" t="str">
            <v>Цт=максимальные Постоянные цены</v>
          </cell>
          <cell r="B703" t="str">
            <v>Цт=максимальные Постоянные цены</v>
          </cell>
          <cell r="AL703" t="str">
            <v>АЛЬТ-Инвест™ 3.0</v>
          </cell>
        </row>
        <row r="704">
          <cell r="A704" t="str">
            <v>ОТЧЕТ О ПРИБЫЛИ</v>
          </cell>
          <cell r="B704" t="str">
            <v>PROFIT STATEMENT</v>
          </cell>
          <cell r="F704" t="str">
            <v>"0"</v>
          </cell>
          <cell r="G704" t="str">
            <v>1 год</v>
          </cell>
          <cell r="H704" t="str">
            <v>2 год</v>
          </cell>
          <cell r="I704" t="str">
            <v>3 год</v>
          </cell>
          <cell r="J704" t="str">
            <v>4 год</v>
          </cell>
          <cell r="K704" t="str">
            <v>5 год</v>
          </cell>
          <cell r="L704" t="str">
            <v>6 год</v>
          </cell>
          <cell r="M704" t="str">
            <v>7 год</v>
          </cell>
          <cell r="N704" t="str">
            <v>8 год</v>
          </cell>
          <cell r="O704" t="str">
            <v>9 год</v>
          </cell>
          <cell r="P704" t="str">
            <v>10 год</v>
          </cell>
          <cell r="Q704" t="str">
            <v>11 год</v>
          </cell>
          <cell r="R704" t="str">
            <v>12 год</v>
          </cell>
          <cell r="S704" t="str">
            <v>13 год</v>
          </cell>
          <cell r="T704" t="str">
            <v>14 год</v>
          </cell>
          <cell r="U704" t="str">
            <v>15 год</v>
          </cell>
          <cell r="V704" t="str">
            <v>16 год</v>
          </cell>
          <cell r="W704" t="str">
            <v>17 год</v>
          </cell>
          <cell r="X704" t="str">
            <v>18 год</v>
          </cell>
          <cell r="Y704" t="str">
            <v>19 год</v>
          </cell>
          <cell r="Z704" t="str">
            <v>20 год</v>
          </cell>
          <cell r="AA704" t="str">
            <v>21 год</v>
          </cell>
          <cell r="AB704" t="str">
            <v>22 год</v>
          </cell>
          <cell r="AC704" t="str">
            <v>23 год</v>
          </cell>
          <cell r="AD704" t="str">
            <v>24 год</v>
          </cell>
          <cell r="AE704" t="str">
            <v>25 год</v>
          </cell>
          <cell r="AF704" t="str">
            <v>26 год</v>
          </cell>
          <cell r="AG704" t="str">
            <v>27 год</v>
          </cell>
          <cell r="AH704" t="str">
            <v>28 год</v>
          </cell>
          <cell r="AI704" t="str">
            <v>29 год</v>
          </cell>
          <cell r="AJ704" t="str">
            <v>30 год</v>
          </cell>
          <cell r="AL704" t="str">
            <v>ВСЕГО</v>
          </cell>
        </row>
        <row r="706">
          <cell r="A706" t="str">
            <v>Выручка от реализации</v>
          </cell>
          <cell r="B706" t="str">
            <v>Sales revenue</v>
          </cell>
          <cell r="D706" t="str">
            <v>тыс.руб.</v>
          </cell>
          <cell r="F706">
            <v>0</v>
          </cell>
          <cell r="G706">
            <v>0</v>
          </cell>
          <cell r="H706">
            <v>168618.4120535637</v>
          </cell>
          <cell r="I706">
            <v>196221.2241071274</v>
          </cell>
          <cell r="J706">
            <v>230105.58350928724</v>
          </cell>
          <cell r="K706">
            <v>263989.9429114471</v>
          </cell>
          <cell r="L706">
            <v>297874.3023136069</v>
          </cell>
          <cell r="M706">
            <v>324602.5439709719</v>
          </cell>
          <cell r="N706">
            <v>351330.78562833695</v>
          </cell>
          <cell r="O706">
            <v>378059.02728570194</v>
          </cell>
          <cell r="P706">
            <v>404787.26894306706</v>
          </cell>
          <cell r="Q706">
            <v>431515.51060043194</v>
          </cell>
          <cell r="R706">
            <v>461169.8296141684</v>
          </cell>
          <cell r="S706">
            <v>490824.14862790494</v>
          </cell>
          <cell r="T706">
            <v>520478.4676416415</v>
          </cell>
          <cell r="U706">
            <v>550132.786655378</v>
          </cell>
          <cell r="V706">
            <v>550132.786655378</v>
          </cell>
          <cell r="W706">
            <v>550132.786655378</v>
          </cell>
          <cell r="X706">
            <v>550132.786655378</v>
          </cell>
          <cell r="Y706">
            <v>550132.786655378</v>
          </cell>
          <cell r="Z706">
            <v>550132.786655378</v>
          </cell>
          <cell r="AA706">
            <v>550132.786655378</v>
          </cell>
          <cell r="AB706">
            <v>550132.786655378</v>
          </cell>
          <cell r="AC706">
            <v>550132.786655378</v>
          </cell>
          <cell r="AD706">
            <v>550132.786655378</v>
          </cell>
          <cell r="AE706">
            <v>550132.786655378</v>
          </cell>
          <cell r="AF706">
            <v>550132.786655378</v>
          </cell>
          <cell r="AG706">
            <v>550132.786655378</v>
          </cell>
          <cell r="AH706">
            <v>550132.786655378</v>
          </cell>
          <cell r="AI706">
            <v>550132.786655378</v>
          </cell>
          <cell r="AJ706">
            <v>550132.786655378</v>
          </cell>
          <cell r="AL706">
            <v>13321701.633693298</v>
          </cell>
        </row>
        <row r="707">
          <cell r="A707" t="str">
            <v> - полная себестоимость</v>
          </cell>
          <cell r="B707" t="str">
            <v> - costs of product sold (cost price)</v>
          </cell>
          <cell r="D707" t="str">
            <v>тыс.руб.</v>
          </cell>
          <cell r="F707">
            <v>0</v>
          </cell>
          <cell r="G707">
            <v>0</v>
          </cell>
          <cell r="H707">
            <v>-108975.01649999998</v>
          </cell>
          <cell r="I707">
            <v>-127514.63885999999</v>
          </cell>
          <cell r="J707">
            <v>-146255.02794</v>
          </cell>
          <cell r="K707">
            <v>-164641.41702000002</v>
          </cell>
          <cell r="L707">
            <v>-183045.5061</v>
          </cell>
          <cell r="M707">
            <v>-195911.408364</v>
          </cell>
          <cell r="N707">
            <v>-208799.007288</v>
          </cell>
          <cell r="O707">
            <v>-221708.95377179998</v>
          </cell>
          <cell r="P707">
            <v>-234641.91824219396</v>
          </cell>
          <cell r="Q707">
            <v>-247598.5912387798</v>
          </cell>
          <cell r="R707">
            <v>-262630.5133693432</v>
          </cell>
          <cell r="S707">
            <v>-277687.5878753435</v>
          </cell>
          <cell r="T707">
            <v>-292770.56932804384</v>
          </cell>
          <cell r="U707">
            <v>-307880.2349358452</v>
          </cell>
          <cell r="V707">
            <v>-308823.8756074005</v>
          </cell>
          <cell r="W707">
            <v>-309795.82549910253</v>
          </cell>
          <cell r="X707">
            <v>-310796.9338875556</v>
          </cell>
          <cell r="Y707">
            <v>-311828.0755276623</v>
          </cell>
          <cell r="Z707">
            <v>-312890.15141697216</v>
          </cell>
          <cell r="AA707">
            <v>-313984.0895829613</v>
          </cell>
          <cell r="AB707">
            <v>-315110.8458939301</v>
          </cell>
          <cell r="AC707">
            <v>-316271.40489422804</v>
          </cell>
          <cell r="AD707">
            <v>-317466.7806645349</v>
          </cell>
          <cell r="AE707">
            <v>-318698.01770795096</v>
          </cell>
          <cell r="AF707">
            <v>-319966.1918626695</v>
          </cell>
          <cell r="AG707">
            <v>-321272.4112420296</v>
          </cell>
          <cell r="AH707">
            <v>-322617.81720277044</v>
          </cell>
          <cell r="AI707">
            <v>-319733.9889423336</v>
          </cell>
          <cell r="AJ707">
            <v>-321042.73022608354</v>
          </cell>
          <cell r="AL707">
            <v>-7720359.530991535</v>
          </cell>
        </row>
        <row r="708">
          <cell r="A708" t="str">
            <v> = Прибыль от основной деятельности</v>
          </cell>
          <cell r="B708" t="str">
            <v> = Profit on realization</v>
          </cell>
          <cell r="D708" t="str">
            <v>тыс.руб.</v>
          </cell>
          <cell r="F708">
            <v>0</v>
          </cell>
          <cell r="G708">
            <v>0</v>
          </cell>
          <cell r="H708">
            <v>59643.39555356371</v>
          </cell>
          <cell r="I708">
            <v>68706.58524712741</v>
          </cell>
          <cell r="J708">
            <v>83850.55556928724</v>
          </cell>
          <cell r="K708">
            <v>99348.52589144706</v>
          </cell>
          <cell r="L708">
            <v>114828.7962136069</v>
          </cell>
          <cell r="M708">
            <v>128691.13560697189</v>
          </cell>
          <cell r="N708">
            <v>142531.77834033695</v>
          </cell>
          <cell r="O708">
            <v>156350.07351390197</v>
          </cell>
          <cell r="P708">
            <v>170145.3507008731</v>
          </cell>
          <cell r="Q708">
            <v>183916.91936165214</v>
          </cell>
          <cell r="R708">
            <v>198539.3162448252</v>
          </cell>
          <cell r="S708">
            <v>213136.56075256143</v>
          </cell>
          <cell r="T708">
            <v>227707.89831359766</v>
          </cell>
          <cell r="U708">
            <v>242252.55171953276</v>
          </cell>
          <cell r="V708">
            <v>241308.91104797745</v>
          </cell>
          <cell r="W708">
            <v>240336.9611562754</v>
          </cell>
          <cell r="X708">
            <v>239335.85276782233</v>
          </cell>
          <cell r="Y708">
            <v>238304.71112771565</v>
          </cell>
          <cell r="Z708">
            <v>237242.63523840578</v>
          </cell>
          <cell r="AA708">
            <v>236148.69707241666</v>
          </cell>
          <cell r="AB708">
            <v>235021.94076144783</v>
          </cell>
          <cell r="AC708">
            <v>233861.3817611499</v>
          </cell>
          <cell r="AD708">
            <v>232666.00599084306</v>
          </cell>
          <cell r="AE708">
            <v>231434.768947427</v>
          </cell>
          <cell r="AF708">
            <v>230166.59479270846</v>
          </cell>
          <cell r="AG708">
            <v>228860.37541334837</v>
          </cell>
          <cell r="AH708">
            <v>227514.9694526075</v>
          </cell>
          <cell r="AI708">
            <v>230398.79771304433</v>
          </cell>
          <cell r="AJ708">
            <v>229090.0564292944</v>
          </cell>
          <cell r="AL708">
            <v>5601342.10270177</v>
          </cell>
        </row>
        <row r="710">
          <cell r="A710" t="str">
            <v> - доходы/расходы от прочей реализации</v>
          </cell>
          <cell r="B710" t="str">
            <v> - incomes/consumptions of other realization </v>
          </cell>
          <cell r="D710" t="str">
            <v>тыс.руб.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L710">
            <v>0</v>
          </cell>
        </row>
        <row r="711">
          <cell r="A711" t="str">
            <v> - внереализационные доходы/расходы</v>
          </cell>
          <cell r="B711" t="str">
            <v> - non-trade incomes/consumptions </v>
          </cell>
          <cell r="D711" t="str">
            <v>тыс.руб.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L711">
            <v>0</v>
          </cell>
        </row>
        <row r="712">
          <cell r="A712" t="str">
            <v> - курсовая разница</v>
          </cell>
          <cell r="B712" t="str">
            <v> - difference in exchange </v>
          </cell>
          <cell r="D712" t="str">
            <v>тыс.руб.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L712">
            <v>0</v>
          </cell>
        </row>
        <row r="713">
          <cell r="A713" t="str">
            <v> = Балансовая прибыль</v>
          </cell>
          <cell r="B713" t="str">
            <v> = Gross profit/loss</v>
          </cell>
          <cell r="D713" t="str">
            <v>тыс.руб.</v>
          </cell>
          <cell r="F713">
            <v>0</v>
          </cell>
          <cell r="G713">
            <v>0</v>
          </cell>
          <cell r="H713">
            <v>59643.39555356371</v>
          </cell>
          <cell r="I713">
            <v>68706.58524712741</v>
          </cell>
          <cell r="J713">
            <v>83850.55556928724</v>
          </cell>
          <cell r="K713">
            <v>99348.52589144706</v>
          </cell>
          <cell r="L713">
            <v>114828.7962136069</v>
          </cell>
          <cell r="M713">
            <v>128691.13560697189</v>
          </cell>
          <cell r="N713">
            <v>142531.77834033695</v>
          </cell>
          <cell r="O713">
            <v>156350.07351390197</v>
          </cell>
          <cell r="P713">
            <v>170145.3507008731</v>
          </cell>
          <cell r="Q713">
            <v>183916.91936165214</v>
          </cell>
          <cell r="R713">
            <v>198539.3162448252</v>
          </cell>
          <cell r="S713">
            <v>213136.56075256143</v>
          </cell>
          <cell r="T713">
            <v>227707.89831359766</v>
          </cell>
          <cell r="U713">
            <v>242252.55171953276</v>
          </cell>
          <cell r="V713">
            <v>241308.91104797745</v>
          </cell>
          <cell r="W713">
            <v>240336.9611562754</v>
          </cell>
          <cell r="X713">
            <v>239335.85276782233</v>
          </cell>
          <cell r="Y713">
            <v>238304.71112771565</v>
          </cell>
          <cell r="Z713">
            <v>237242.63523840578</v>
          </cell>
          <cell r="AA713">
            <v>236148.69707241666</v>
          </cell>
          <cell r="AB713">
            <v>235021.94076144783</v>
          </cell>
          <cell r="AC713">
            <v>233861.3817611499</v>
          </cell>
          <cell r="AD713">
            <v>232666.00599084306</v>
          </cell>
          <cell r="AE713">
            <v>231434.768947427</v>
          </cell>
          <cell r="AF713">
            <v>230166.59479270846</v>
          </cell>
          <cell r="AG713">
            <v>228860.37541334837</v>
          </cell>
          <cell r="AH713">
            <v>227514.9694526075</v>
          </cell>
          <cell r="AI713">
            <v>230398.79771304433</v>
          </cell>
          <cell r="AJ713">
            <v>229090.0564292944</v>
          </cell>
          <cell r="AL713">
            <v>5601342.10270177</v>
          </cell>
        </row>
        <row r="714">
          <cell r="A714" t="str">
            <v> - налоги, относимые на финансовые результаты</v>
          </cell>
          <cell r="B714" t="str">
            <v> - tax payments, refered on financial outcomes</v>
          </cell>
          <cell r="D714" t="str">
            <v>тыс.руб.</v>
          </cell>
          <cell r="F714">
            <v>0</v>
          </cell>
          <cell r="G714">
            <v>0</v>
          </cell>
          <cell r="H714">
            <v>-5009.741633431425</v>
          </cell>
          <cell r="I714">
            <v>-5513.7179697908205</v>
          </cell>
          <cell r="J714">
            <v>-5990.233357069654</v>
          </cell>
          <cell r="K714">
            <v>-6472.065334738985</v>
          </cell>
          <cell r="L714">
            <v>-6953.897312408315</v>
          </cell>
          <cell r="M714">
            <v>-7321.682285671728</v>
          </cell>
          <cell r="N714">
            <v>-7682.762020701144</v>
          </cell>
          <cell r="O714">
            <v>-8043.841755730562</v>
          </cell>
          <cell r="P714">
            <v>-8404.92149075998</v>
          </cell>
          <cell r="Q714">
            <v>-8766.001225789394</v>
          </cell>
          <cell r="R714">
            <v>-9173.695356371358</v>
          </cell>
          <cell r="S714">
            <v>-9584.112722160302</v>
          </cell>
          <cell r="T714">
            <v>-9994.530087949244</v>
          </cell>
          <cell r="U714">
            <v>-10404.947453738185</v>
          </cell>
          <cell r="V714">
            <v>-10343.866781029632</v>
          </cell>
          <cell r="W714">
            <v>-10256.102855029632</v>
          </cell>
          <cell r="X714">
            <v>-10168.338929029633</v>
          </cell>
          <cell r="Y714">
            <v>-10080.575003029633</v>
          </cell>
          <cell r="Z714">
            <v>-9992.811077029633</v>
          </cell>
          <cell r="AA714">
            <v>-9905.047151029632</v>
          </cell>
          <cell r="AB714">
            <v>-9817.283225029632</v>
          </cell>
          <cell r="AC714">
            <v>-9729.519299029633</v>
          </cell>
          <cell r="AD714">
            <v>-9641.755373029633</v>
          </cell>
          <cell r="AE714">
            <v>-9553.991447029633</v>
          </cell>
          <cell r="AF714">
            <v>-9466.227521029632</v>
          </cell>
          <cell r="AG714">
            <v>-9378.463595029632</v>
          </cell>
          <cell r="AH714">
            <v>-9290.699669029633</v>
          </cell>
          <cell r="AI714">
            <v>-9245.631707029632</v>
          </cell>
          <cell r="AJ714">
            <v>-9244.445708029632</v>
          </cell>
          <cell r="AL714">
            <v>-255430.90934675554</v>
          </cell>
        </row>
        <row r="716">
          <cell r="A716" t="str">
            <v>Налогооблагаемая прибыль без  учета льгот</v>
          </cell>
          <cell r="B716" t="str">
            <v>Taxable profit (without allowances)</v>
          </cell>
          <cell r="D716" t="str">
            <v>тыс.руб.</v>
          </cell>
          <cell r="F716">
            <v>0</v>
          </cell>
          <cell r="G716">
            <v>0</v>
          </cell>
          <cell r="H716">
            <v>54633.65392013228</v>
          </cell>
          <cell r="I716">
            <v>63192.86727733659</v>
          </cell>
          <cell r="J716">
            <v>77860.3222122176</v>
          </cell>
          <cell r="K716">
            <v>92876.46055670807</v>
          </cell>
          <cell r="L716">
            <v>107874.89890119858</v>
          </cell>
          <cell r="M716">
            <v>121369.45332130016</v>
          </cell>
          <cell r="N716">
            <v>134849.01631963582</v>
          </cell>
          <cell r="O716">
            <v>148306.2317581714</v>
          </cell>
          <cell r="P716">
            <v>161740.42921011313</v>
          </cell>
          <cell r="Q716">
            <v>175150.91813586274</v>
          </cell>
          <cell r="R716">
            <v>189365.62088845385</v>
          </cell>
          <cell r="S716">
            <v>203552.44803040114</v>
          </cell>
          <cell r="T716">
            <v>217713.36822564842</v>
          </cell>
          <cell r="U716">
            <v>231847.60426579457</v>
          </cell>
          <cell r="V716">
            <v>230965.04426694784</v>
          </cell>
          <cell r="W716">
            <v>230080.85830124578</v>
          </cell>
          <cell r="X716">
            <v>229167.51383879269</v>
          </cell>
          <cell r="Y716">
            <v>228224.13612468602</v>
          </cell>
          <cell r="Z716">
            <v>227249.82416137616</v>
          </cell>
          <cell r="AA716">
            <v>226243.64992138703</v>
          </cell>
          <cell r="AB716">
            <v>225204.6575364182</v>
          </cell>
          <cell r="AC716">
            <v>224131.86246212028</v>
          </cell>
          <cell r="AD716">
            <v>223024.25061781344</v>
          </cell>
          <cell r="AE716">
            <v>221880.77750039735</v>
          </cell>
          <cell r="AF716">
            <v>220700.36727167884</v>
          </cell>
          <cell r="AG716">
            <v>219481.91181831874</v>
          </cell>
          <cell r="AH716">
            <v>218224.26978357788</v>
          </cell>
          <cell r="AI716">
            <v>221153.1660060147</v>
          </cell>
          <cell r="AJ716">
            <v>219845.61072126476</v>
          </cell>
          <cell r="AL716">
            <v>5345911.193355014</v>
          </cell>
        </row>
        <row r="717">
          <cell r="A717" t="str">
            <v>Налогооблагаемая прибыль с учетом льгот</v>
          </cell>
          <cell r="B717" t="str">
            <v>Taxable profit (with allowances)</v>
          </cell>
          <cell r="D717" t="str">
            <v>тыс.руб.</v>
          </cell>
          <cell r="F717">
            <v>0</v>
          </cell>
          <cell r="G717">
            <v>0</v>
          </cell>
          <cell r="H717">
            <v>54633.65392013228</v>
          </cell>
          <cell r="I717">
            <v>63192.86727733659</v>
          </cell>
          <cell r="J717">
            <v>77860.3222122176</v>
          </cell>
          <cell r="K717">
            <v>92876.46055670807</v>
          </cell>
          <cell r="L717">
            <v>107874.89890119858</v>
          </cell>
          <cell r="M717">
            <v>121369.45332130016</v>
          </cell>
          <cell r="N717">
            <v>134849.01631963582</v>
          </cell>
          <cell r="O717">
            <v>148306.2317581714</v>
          </cell>
          <cell r="P717">
            <v>161740.42921011313</v>
          </cell>
          <cell r="Q717">
            <v>175150.91813586274</v>
          </cell>
          <cell r="R717">
            <v>189365.62088845385</v>
          </cell>
          <cell r="S717">
            <v>203552.44803040114</v>
          </cell>
          <cell r="T717">
            <v>217713.36822564842</v>
          </cell>
          <cell r="U717">
            <v>231847.60426579457</v>
          </cell>
          <cell r="V717">
            <v>230965.04426694784</v>
          </cell>
          <cell r="W717">
            <v>230080.85830124578</v>
          </cell>
          <cell r="X717">
            <v>229167.51383879269</v>
          </cell>
          <cell r="Y717">
            <v>228224.13612468602</v>
          </cell>
          <cell r="Z717">
            <v>227249.82416137616</v>
          </cell>
          <cell r="AA717">
            <v>226243.64992138703</v>
          </cell>
          <cell r="AB717">
            <v>225204.6575364182</v>
          </cell>
          <cell r="AC717">
            <v>224131.86246212028</v>
          </cell>
          <cell r="AD717">
            <v>223024.25061781344</v>
          </cell>
          <cell r="AE717">
            <v>221880.77750039735</v>
          </cell>
          <cell r="AF717">
            <v>220700.36727167884</v>
          </cell>
          <cell r="AG717">
            <v>219481.91181831874</v>
          </cell>
          <cell r="AH717">
            <v>218224.26978357788</v>
          </cell>
          <cell r="AI717">
            <v>221153.1660060147</v>
          </cell>
          <cell r="AJ717">
            <v>219845.61072126476</v>
          </cell>
          <cell r="AL717">
            <v>5345911.193355014</v>
          </cell>
        </row>
        <row r="718">
          <cell r="A718" t="str">
            <v> - налог на прибыль</v>
          </cell>
          <cell r="B718" t="str">
            <v> - profit tax</v>
          </cell>
          <cell r="D718" t="str">
            <v>тыс.руб.</v>
          </cell>
          <cell r="F718">
            <v>0</v>
          </cell>
          <cell r="G718">
            <v>0</v>
          </cell>
          <cell r="H718">
            <v>-13112.076940831746</v>
          </cell>
          <cell r="I718">
            <v>-15166.28814656078</v>
          </cell>
          <cell r="J718">
            <v>-18686.477330932223</v>
          </cell>
          <cell r="K718">
            <v>-22290.350533609937</v>
          </cell>
          <cell r="L718">
            <v>-25889.97573628766</v>
          </cell>
          <cell r="M718">
            <v>-29128.668797112037</v>
          </cell>
          <cell r="N718">
            <v>-32363.763916712596</v>
          </cell>
          <cell r="O718">
            <v>-35593.495621961134</v>
          </cell>
          <cell r="P718">
            <v>-38817.70301042715</v>
          </cell>
          <cell r="Q718">
            <v>-42036.22035260706</v>
          </cell>
          <cell r="R718">
            <v>-45447.749013228924</v>
          </cell>
          <cell r="S718">
            <v>-48852.58752729627</v>
          </cell>
          <cell r="T718">
            <v>-52251.20837415562</v>
          </cell>
          <cell r="U718">
            <v>-55643.425023790696</v>
          </cell>
          <cell r="V718">
            <v>-55431.61062406748</v>
          </cell>
          <cell r="W718">
            <v>-55219.40599229898</v>
          </cell>
          <cell r="X718">
            <v>-55000.20332131024</v>
          </cell>
          <cell r="Y718">
            <v>-54773.792669924645</v>
          </cell>
          <cell r="Z718">
            <v>-54539.95779873028</v>
          </cell>
          <cell r="AA718">
            <v>-54298.475981132884</v>
          </cell>
          <cell r="AB718">
            <v>-54049.11780874037</v>
          </cell>
          <cell r="AC718">
            <v>-53791.64699090886</v>
          </cell>
          <cell r="AD718">
            <v>-53525.82014827522</v>
          </cell>
          <cell r="AE718">
            <v>-53251.386600095364</v>
          </cell>
          <cell r="AF718">
            <v>-52968.08814520292</v>
          </cell>
          <cell r="AG718">
            <v>-52675.6588363965</v>
          </cell>
          <cell r="AH718">
            <v>-52373.82474805869</v>
          </cell>
          <cell r="AI718">
            <v>-53076.75984144353</v>
          </cell>
          <cell r="AJ718">
            <v>-52762.94657310354</v>
          </cell>
          <cell r="AL718">
            <v>-1283018.686405203</v>
          </cell>
        </row>
        <row r="719">
          <cell r="A719" t="str">
            <v> - проценты не включаемые в себестоимость</v>
          </cell>
          <cell r="B719" t="str">
            <v> - interest not included in tax-free costs</v>
          </cell>
          <cell r="D719" t="str">
            <v>тыс.руб.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L719">
            <v>0</v>
          </cell>
        </row>
        <row r="720">
          <cell r="A720" t="str">
            <v> = Чистая прибыль</v>
          </cell>
          <cell r="B720" t="str">
            <v> = Net profit/loss</v>
          </cell>
          <cell r="D720" t="str">
            <v>тыс.руб.</v>
          </cell>
          <cell r="F720">
            <v>0</v>
          </cell>
          <cell r="G720">
            <v>0</v>
          </cell>
          <cell r="H720">
            <v>41521.57697930053</v>
          </cell>
          <cell r="I720">
            <v>48026.57913077581</v>
          </cell>
          <cell r="J720">
            <v>59173.844881285375</v>
          </cell>
          <cell r="K720">
            <v>70586.11002309814</v>
          </cell>
          <cell r="L720">
            <v>81984.92316491093</v>
          </cell>
          <cell r="M720">
            <v>92240.78452418812</v>
          </cell>
          <cell r="N720">
            <v>102485.25240292322</v>
          </cell>
          <cell r="O720">
            <v>112712.73613621027</v>
          </cell>
          <cell r="P720">
            <v>122922.72619968597</v>
          </cell>
          <cell r="Q720">
            <v>133114.6977832557</v>
          </cell>
          <cell r="R720">
            <v>143917.87187522493</v>
          </cell>
          <cell r="S720">
            <v>154699.86050310486</v>
          </cell>
          <cell r="T720">
            <v>165462.1598514928</v>
          </cell>
          <cell r="U720">
            <v>176204.17924200388</v>
          </cell>
          <cell r="V720">
            <v>175533.43364288035</v>
          </cell>
          <cell r="W720">
            <v>174861.4523089468</v>
          </cell>
          <cell r="X720">
            <v>174167.31051748246</v>
          </cell>
          <cell r="Y720">
            <v>173450.34345476137</v>
          </cell>
          <cell r="Z720">
            <v>172709.86636264587</v>
          </cell>
          <cell r="AA720">
            <v>171945.17394025414</v>
          </cell>
          <cell r="AB720">
            <v>171155.53972767782</v>
          </cell>
          <cell r="AC720">
            <v>170340.2154712114</v>
          </cell>
          <cell r="AD720">
            <v>169498.4304695382</v>
          </cell>
          <cell r="AE720">
            <v>168629.39090030198</v>
          </cell>
          <cell r="AF720">
            <v>167732.2791264759</v>
          </cell>
          <cell r="AG720">
            <v>166806.25298192224</v>
          </cell>
          <cell r="AH720">
            <v>165850.4450355192</v>
          </cell>
          <cell r="AI720">
            <v>168076.40616457118</v>
          </cell>
          <cell r="AJ720">
            <v>167082.66414816122</v>
          </cell>
          <cell r="AL720">
            <v>4062892.50694981</v>
          </cell>
        </row>
        <row r="722">
          <cell r="A722" t="str">
            <v> - дивиденды, выплаченные</v>
          </cell>
          <cell r="B722" t="str">
            <v> - dividends payable</v>
          </cell>
          <cell r="D722" t="str">
            <v>тыс.руб.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L722">
            <v>0</v>
          </cell>
        </row>
        <row r="723">
          <cell r="A723" t="str">
            <v> - прочие платежи из чистой прибыли</v>
          </cell>
          <cell r="B723" t="str">
            <v> - other payments from a net profit</v>
          </cell>
          <cell r="D723" t="str">
            <v>тыс.руб.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L723">
            <v>0</v>
          </cell>
        </row>
        <row r="724">
          <cell r="A724" t="str">
            <v> = Нераспределенная прибыль</v>
          </cell>
          <cell r="B724" t="str">
            <v> = Retained (undistributed) profit/loss</v>
          </cell>
          <cell r="D724" t="str">
            <v>тыс.руб.</v>
          </cell>
          <cell r="F724">
            <v>0</v>
          </cell>
          <cell r="G724">
            <v>0</v>
          </cell>
          <cell r="H724">
            <v>41521.57697930053</v>
          </cell>
          <cell r="I724">
            <v>48026.57913077581</v>
          </cell>
          <cell r="J724">
            <v>59173.844881285375</v>
          </cell>
          <cell r="K724">
            <v>70586.11002309814</v>
          </cell>
          <cell r="L724">
            <v>81984.92316491093</v>
          </cell>
          <cell r="M724">
            <v>92240.78452418812</v>
          </cell>
          <cell r="N724">
            <v>102485.25240292322</v>
          </cell>
          <cell r="O724">
            <v>112712.73613621027</v>
          </cell>
          <cell r="P724">
            <v>122922.72619968597</v>
          </cell>
          <cell r="Q724">
            <v>133114.6977832557</v>
          </cell>
          <cell r="R724">
            <v>143917.87187522493</v>
          </cell>
          <cell r="S724">
            <v>154699.86050310486</v>
          </cell>
          <cell r="T724">
            <v>165462.1598514928</v>
          </cell>
          <cell r="U724">
            <v>176204.17924200388</v>
          </cell>
          <cell r="V724">
            <v>175533.43364288035</v>
          </cell>
          <cell r="W724">
            <v>174861.4523089468</v>
          </cell>
          <cell r="X724">
            <v>174167.31051748246</v>
          </cell>
          <cell r="Y724">
            <v>173450.34345476137</v>
          </cell>
          <cell r="Z724">
            <v>172709.86636264587</v>
          </cell>
          <cell r="AA724">
            <v>171945.17394025414</v>
          </cell>
          <cell r="AB724">
            <v>171155.53972767782</v>
          </cell>
          <cell r="AC724">
            <v>170340.2154712114</v>
          </cell>
          <cell r="AD724">
            <v>169498.4304695382</v>
          </cell>
          <cell r="AE724">
            <v>168629.39090030198</v>
          </cell>
          <cell r="AF724">
            <v>167732.2791264759</v>
          </cell>
          <cell r="AG724">
            <v>166806.25298192224</v>
          </cell>
          <cell r="AH724">
            <v>165850.4450355192</v>
          </cell>
          <cell r="AI724">
            <v>168076.40616457118</v>
          </cell>
          <cell r="AJ724">
            <v>167082.66414816122</v>
          </cell>
          <cell r="AL724">
            <v>4062892.50694981</v>
          </cell>
        </row>
        <row r="725">
          <cell r="A725" t="str">
            <v>    То же, нарастающим итогом </v>
          </cell>
          <cell r="B725" t="str">
            <v>    Accumulated retained profit</v>
          </cell>
          <cell r="D725" t="str">
            <v>тыс.руб.</v>
          </cell>
          <cell r="E725" t="str">
            <v>,on_end</v>
          </cell>
          <cell r="F725">
            <v>0</v>
          </cell>
          <cell r="G725">
            <v>0</v>
          </cell>
          <cell r="H725">
            <v>41521.57697930053</v>
          </cell>
          <cell r="I725">
            <v>89548.15611007635</v>
          </cell>
          <cell r="J725">
            <v>148722.00099136174</v>
          </cell>
          <cell r="K725">
            <v>219308.11101445986</v>
          </cell>
          <cell r="L725">
            <v>301293.0341793708</v>
          </cell>
          <cell r="M725">
            <v>393533.8187035589</v>
          </cell>
          <cell r="N725">
            <v>496019.07110648206</v>
          </cell>
          <cell r="O725">
            <v>608731.8072426923</v>
          </cell>
          <cell r="P725">
            <v>731654.5334423783</v>
          </cell>
          <cell r="Q725">
            <v>864769.231225634</v>
          </cell>
          <cell r="R725">
            <v>1008687.1031008589</v>
          </cell>
          <cell r="S725">
            <v>1163386.9636039636</v>
          </cell>
          <cell r="T725">
            <v>1328849.1234554565</v>
          </cell>
          <cell r="U725">
            <v>1505053.3026974604</v>
          </cell>
          <cell r="V725">
            <v>1680586.7363403407</v>
          </cell>
          <cell r="W725">
            <v>1855448.1886492874</v>
          </cell>
          <cell r="X725">
            <v>2029615.49916677</v>
          </cell>
          <cell r="Y725">
            <v>2203065.8426215313</v>
          </cell>
          <cell r="Z725">
            <v>2375775.708984177</v>
          </cell>
          <cell r="AA725">
            <v>2547720.882924431</v>
          </cell>
          <cell r="AB725">
            <v>2718876.4226521086</v>
          </cell>
          <cell r="AC725">
            <v>2889216.63812332</v>
          </cell>
          <cell r="AD725">
            <v>3058715.068592858</v>
          </cell>
          <cell r="AE725">
            <v>3227344.4594931602</v>
          </cell>
          <cell r="AF725">
            <v>3395076.7386196363</v>
          </cell>
          <cell r="AG725">
            <v>3561882.9916015584</v>
          </cell>
          <cell r="AH725">
            <v>3727733.4366370775</v>
          </cell>
          <cell r="AI725">
            <v>3895809.8428016487</v>
          </cell>
          <cell r="AJ725">
            <v>4062892.50694981</v>
          </cell>
          <cell r="AL725">
            <v>4062892.50694981</v>
          </cell>
        </row>
        <row r="729">
          <cell r="A729" t="str">
            <v>Цт=максимальные Постоянные цены</v>
          </cell>
          <cell r="B729" t="str">
            <v>Цт=максимальные Постоянные цены</v>
          </cell>
          <cell r="AL729" t="str">
            <v>АЛЬТ-Инвест™ 3.0</v>
          </cell>
        </row>
        <row r="730">
          <cell r="A730" t="str">
            <v>ПРИЛОЖЕНИЕ К ОТЧЕТУ О ПРИБЫЛИ</v>
          </cell>
          <cell r="B730" t="str">
            <v>SUPPLEMENT TO PROFIT STATEMENT</v>
          </cell>
          <cell r="F730" t="str">
            <v>"0"</v>
          </cell>
          <cell r="G730" t="str">
            <v>1 год</v>
          </cell>
          <cell r="H730" t="str">
            <v>2 год</v>
          </cell>
          <cell r="I730" t="str">
            <v>3 год</v>
          </cell>
          <cell r="J730" t="str">
            <v>4 год</v>
          </cell>
          <cell r="K730" t="str">
            <v>5 год</v>
          </cell>
          <cell r="L730" t="str">
            <v>6 год</v>
          </cell>
          <cell r="M730" t="str">
            <v>7 год</v>
          </cell>
          <cell r="N730" t="str">
            <v>8 год</v>
          </cell>
          <cell r="O730" t="str">
            <v>9 год</v>
          </cell>
          <cell r="P730" t="str">
            <v>10 год</v>
          </cell>
          <cell r="Q730" t="str">
            <v>11 год</v>
          </cell>
          <cell r="R730" t="str">
            <v>12 год</v>
          </cell>
          <cell r="S730" t="str">
            <v>13 год</v>
          </cell>
          <cell r="T730" t="str">
            <v>14 год</v>
          </cell>
          <cell r="U730" t="str">
            <v>15 год</v>
          </cell>
          <cell r="V730" t="str">
            <v>16 год</v>
          </cell>
          <cell r="W730" t="str">
            <v>17 год</v>
          </cell>
          <cell r="X730" t="str">
            <v>18 год</v>
          </cell>
          <cell r="Y730" t="str">
            <v>19 год</v>
          </cell>
          <cell r="Z730" t="str">
            <v>20 год</v>
          </cell>
          <cell r="AA730" t="str">
            <v>21 год</v>
          </cell>
          <cell r="AB730" t="str">
            <v>22 год</v>
          </cell>
          <cell r="AC730" t="str">
            <v>23 год</v>
          </cell>
          <cell r="AD730" t="str">
            <v>24 год</v>
          </cell>
          <cell r="AE730" t="str">
            <v>25 год</v>
          </cell>
          <cell r="AF730" t="str">
            <v>26 год</v>
          </cell>
          <cell r="AG730" t="str">
            <v>27 год</v>
          </cell>
          <cell r="AH730" t="str">
            <v>28 год</v>
          </cell>
          <cell r="AI730" t="str">
            <v>29 год</v>
          </cell>
          <cell r="AJ730" t="str">
            <v>30 год</v>
          </cell>
          <cell r="AL730" t="str">
            <v>ВСЕГО</v>
          </cell>
        </row>
        <row r="731">
          <cell r="A731" t="str">
            <v>1. ДОХОДЫ/РАСХОДЫ ОТ ПРОЧЕЙ РЕАЛИЗАЦИИ</v>
          </cell>
          <cell r="B731" t="str">
            <v>1. INCOMES/CONSUMPTIONS OF OTHER REALIZATION</v>
          </cell>
        </row>
        <row r="733">
          <cell r="A733" t="str">
            <v> - доход/убыток от реализации постоянных активов</v>
          </cell>
          <cell r="B733" t="str">
            <v> - fixed assets sale profit/loss</v>
          </cell>
          <cell r="D733" t="str">
            <v>тыс.руб.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L733">
            <v>0</v>
          </cell>
        </row>
        <row r="734">
          <cell r="A734" t="str">
            <v> - прочие доходы(+)/расходы(-)</v>
          </cell>
          <cell r="B734" t="str">
            <v> - other incomes(+)/consumptions(-)</v>
          </cell>
          <cell r="D734" t="str">
            <v>тыс.руб.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L734">
            <v>0</v>
          </cell>
        </row>
        <row r="735">
          <cell r="A735" t="str">
            <v> = Итого доходы/расходы от прочей реализации</v>
          </cell>
          <cell r="B735" t="str">
            <v> = Total incomes/consumptions of other realization </v>
          </cell>
          <cell r="D735" t="str">
            <v>тыс.руб.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L735">
            <v>0</v>
          </cell>
        </row>
        <row r="736">
          <cell r="A736" t="str">
            <v>НДС к прочим доходам/расходам от прочей реализации</v>
          </cell>
          <cell r="B736" t="str">
            <v>VAT to incomes/consumptions of other realization </v>
          </cell>
          <cell r="C736">
            <v>0.18</v>
          </cell>
          <cell r="D736" t="str">
            <v>тыс.руб.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L736">
            <v>0</v>
          </cell>
        </row>
        <row r="738">
          <cell r="A738" t="str">
            <v>2. ВНЕРЕАЛИЗАЦИОННЫЕ ДОХОДЫ/РАСХОДЫ</v>
          </cell>
          <cell r="B738" t="str">
            <v>2. NON-TRADE INCOMES/CONSUMPTIONS</v>
          </cell>
        </row>
        <row r="740">
          <cell r="A740" t="str">
            <v>Ставка дохода по депозитам</v>
          </cell>
          <cell r="B740" t="str">
            <v>Interest rate for deposit account</v>
          </cell>
        </row>
        <row r="741">
          <cell r="A741" t="str">
            <v> - годовая номинальная</v>
          </cell>
          <cell r="B741" t="str">
            <v> - nominal yearly</v>
          </cell>
          <cell r="D741" t="str">
            <v>%</v>
          </cell>
          <cell r="E741" t="str">
            <v>on_end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742" t="str">
            <v> - годовая реальная</v>
          </cell>
          <cell r="B742" t="str">
            <v> - real yearly</v>
          </cell>
          <cell r="D742" t="str">
            <v>%</v>
          </cell>
          <cell r="E742" t="str">
            <v>on_end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743" t="str">
            <v> - расчетная на интервал планирования</v>
          </cell>
          <cell r="B743" t="str">
            <v> - used in calculations per PI</v>
          </cell>
          <cell r="D743" t="str">
            <v>%</v>
          </cell>
          <cell r="E743" t="str">
            <v>on_end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A744" t="str">
            <v>Доход к получению</v>
          </cell>
          <cell r="B744" t="str">
            <v>Calculated income</v>
          </cell>
          <cell r="D744" t="str">
            <v>тыс.руб.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L744">
            <v>0</v>
          </cell>
        </row>
        <row r="746">
          <cell r="A746" t="str">
            <v> - прочие доходы(+)/расходы(-)</v>
          </cell>
          <cell r="B746" t="str">
            <v> - other incomes(+)/consumptions(-)</v>
          </cell>
          <cell r="D746" t="str">
            <v>тыс.руб.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L746">
            <v>0</v>
          </cell>
        </row>
        <row r="747">
          <cell r="A747" t="str">
            <v> = Итого внереализационные доходы/расходы</v>
          </cell>
          <cell r="B747" t="str">
            <v> = Total non-trade incomes/consumptions </v>
          </cell>
          <cell r="D747" t="str">
            <v>тыс.руб.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L747">
            <v>0</v>
          </cell>
        </row>
        <row r="749">
          <cell r="A749" t="str">
            <v>3. КУРСОВАЯ  РАЗНИЦА</v>
          </cell>
          <cell r="B749" t="str">
            <v>3. DIFFERENCE IN EXCHANGE </v>
          </cell>
        </row>
        <row r="751">
          <cell r="A751" t="str">
            <v> - оборотные активы</v>
          </cell>
          <cell r="B751" t="str">
            <v> - current assets</v>
          </cell>
          <cell r="D751" t="str">
            <v>тыс.руб.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L751">
            <v>0</v>
          </cell>
        </row>
        <row r="752">
          <cell r="A752" t="str">
            <v> - краткосрочные пассивы</v>
          </cell>
          <cell r="B752" t="str">
            <v> - current liabilities</v>
          </cell>
          <cell r="D752" t="str">
            <v>тыс.руб.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L752">
            <v>0</v>
          </cell>
        </row>
        <row r="753">
          <cell r="A753" t="str">
            <v> - долгосрочные пассивы (кредиты)</v>
          </cell>
          <cell r="B753" t="str">
            <v> - long-term liabilities (loans)</v>
          </cell>
          <cell r="D753" t="str">
            <v>тыс.руб.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L753">
            <v>0</v>
          </cell>
        </row>
        <row r="754">
          <cell r="A754" t="str">
            <v> - свободная иностранная валюта</v>
          </cell>
          <cell r="B754" t="str">
            <v> - free cash in foreign currency</v>
          </cell>
          <cell r="D754" t="str">
            <v>тыс.руб.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L754">
            <v>0</v>
          </cell>
        </row>
        <row r="755">
          <cell r="A755" t="str">
            <v> = Итого курсовая разница</v>
          </cell>
          <cell r="B755" t="str">
            <v> = Total difference in exchange</v>
          </cell>
          <cell r="D755" t="str">
            <v>тыс.руб.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L755">
            <v>0</v>
          </cell>
        </row>
        <row r="757">
          <cell r="A757" t="str">
            <v>4. ДИВИДЕНДЫ</v>
          </cell>
          <cell r="B757" t="str">
            <v>4. DIVIDENDS</v>
          </cell>
        </row>
        <row r="759">
          <cell r="A759" t="str">
            <v>Ставка дивидендов по привилегированным акциям</v>
          </cell>
          <cell r="B759" t="str">
            <v>Dividends rate for preferred shares</v>
          </cell>
        </row>
        <row r="760">
          <cell r="A760" t="str">
            <v> - годовая номинальная</v>
          </cell>
          <cell r="B760" t="str">
            <v> - nominal per year</v>
          </cell>
          <cell r="D760" t="str">
            <v>%</v>
          </cell>
          <cell r="E760" t="str">
            <v>,on_end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0.1</v>
          </cell>
          <cell r="L760">
            <v>0.1</v>
          </cell>
          <cell r="M760">
            <v>0.1</v>
          </cell>
          <cell r="N760">
            <v>0.1</v>
          </cell>
          <cell r="O760">
            <v>0.1</v>
          </cell>
          <cell r="P760">
            <v>0.1</v>
          </cell>
          <cell r="Q760">
            <v>0.1</v>
          </cell>
          <cell r="R760">
            <v>0.1</v>
          </cell>
          <cell r="S760">
            <v>0.1</v>
          </cell>
          <cell r="T760">
            <v>0.1</v>
          </cell>
          <cell r="U760">
            <v>0.1</v>
          </cell>
          <cell r="V760">
            <v>0.1</v>
          </cell>
          <cell r="W760">
            <v>0.1</v>
          </cell>
          <cell r="X760">
            <v>0.1</v>
          </cell>
          <cell r="Y760">
            <v>0.1</v>
          </cell>
          <cell r="Z760">
            <v>0.1</v>
          </cell>
          <cell r="AA760">
            <v>0.1</v>
          </cell>
          <cell r="AB760">
            <v>0.1</v>
          </cell>
          <cell r="AC760">
            <v>0.1</v>
          </cell>
          <cell r="AD760">
            <v>0.1</v>
          </cell>
          <cell r="AE760">
            <v>0.1</v>
          </cell>
          <cell r="AF760">
            <v>0.1</v>
          </cell>
          <cell r="AG760">
            <v>0.1</v>
          </cell>
          <cell r="AH760">
            <v>0.1</v>
          </cell>
          <cell r="AI760">
            <v>0.1</v>
          </cell>
          <cell r="AJ760">
            <v>0.1</v>
          </cell>
        </row>
        <row r="761">
          <cell r="A761" t="str">
            <v> - годовая реальная</v>
          </cell>
          <cell r="B761" t="str">
            <v> - real per year</v>
          </cell>
          <cell r="D761" t="str">
            <v>%</v>
          </cell>
          <cell r="E761" t="str">
            <v>,on_end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0.1</v>
          </cell>
          <cell r="L761">
            <v>0.1</v>
          </cell>
          <cell r="M761">
            <v>0.1</v>
          </cell>
          <cell r="N761">
            <v>0.1</v>
          </cell>
          <cell r="O761">
            <v>0.1</v>
          </cell>
          <cell r="P761">
            <v>0.1</v>
          </cell>
          <cell r="Q761">
            <v>0.1</v>
          </cell>
          <cell r="R761">
            <v>0.1</v>
          </cell>
          <cell r="S761">
            <v>0.1</v>
          </cell>
          <cell r="T761">
            <v>0.1</v>
          </cell>
          <cell r="U761">
            <v>0.1</v>
          </cell>
          <cell r="V761">
            <v>0.1</v>
          </cell>
          <cell r="W761">
            <v>0.1</v>
          </cell>
          <cell r="X761">
            <v>0.1</v>
          </cell>
          <cell r="Y761">
            <v>0.1</v>
          </cell>
          <cell r="Z761">
            <v>0.1</v>
          </cell>
          <cell r="AA761">
            <v>0.1</v>
          </cell>
          <cell r="AB761">
            <v>0.1</v>
          </cell>
          <cell r="AC761">
            <v>0.1</v>
          </cell>
          <cell r="AD761">
            <v>0.1</v>
          </cell>
          <cell r="AE761">
            <v>0.1</v>
          </cell>
          <cell r="AF761">
            <v>0.1</v>
          </cell>
          <cell r="AG761">
            <v>0.1</v>
          </cell>
          <cell r="AH761">
            <v>0.1</v>
          </cell>
          <cell r="AI761">
            <v>0.1</v>
          </cell>
          <cell r="AJ761">
            <v>0.1</v>
          </cell>
        </row>
        <row r="762">
          <cell r="A762" t="str">
            <v> - расчетная на интервал планирования</v>
          </cell>
          <cell r="B762" t="str">
            <v> - calculated per PI</v>
          </cell>
          <cell r="D762" t="str">
            <v>%</v>
          </cell>
          <cell r="E762" t="str">
            <v>,on_end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0.1</v>
          </cell>
          <cell r="L762">
            <v>0.1</v>
          </cell>
          <cell r="M762">
            <v>0.1</v>
          </cell>
          <cell r="N762">
            <v>0.1</v>
          </cell>
          <cell r="O762">
            <v>0.1</v>
          </cell>
          <cell r="P762">
            <v>0.1</v>
          </cell>
          <cell r="Q762">
            <v>0.1</v>
          </cell>
          <cell r="R762">
            <v>0.1</v>
          </cell>
          <cell r="S762">
            <v>0.1</v>
          </cell>
          <cell r="T762">
            <v>0.1</v>
          </cell>
          <cell r="U762">
            <v>0.1</v>
          </cell>
          <cell r="V762">
            <v>0.1</v>
          </cell>
          <cell r="W762">
            <v>0.1</v>
          </cell>
          <cell r="X762">
            <v>0.1</v>
          </cell>
          <cell r="Y762">
            <v>0.1</v>
          </cell>
          <cell r="Z762">
            <v>0.1</v>
          </cell>
          <cell r="AA762">
            <v>0.1</v>
          </cell>
          <cell r="AB762">
            <v>0.1</v>
          </cell>
          <cell r="AC762">
            <v>0.1</v>
          </cell>
          <cell r="AD762">
            <v>0.1</v>
          </cell>
          <cell r="AE762">
            <v>0.1</v>
          </cell>
          <cell r="AF762">
            <v>0.1</v>
          </cell>
          <cell r="AG762">
            <v>0.1</v>
          </cell>
          <cell r="AH762">
            <v>0.1</v>
          </cell>
          <cell r="AI762">
            <v>0.1</v>
          </cell>
          <cell r="AJ762">
            <v>0.1</v>
          </cell>
        </row>
        <row r="763">
          <cell r="A763" t="str">
            <v>Дивиденды выплаченные, по привелигированным акциям (-)</v>
          </cell>
          <cell r="B763" t="str">
            <v>Dividends paid for preferred shares (-)</v>
          </cell>
          <cell r="D763" t="str">
            <v>тыс.руб.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L763">
            <v>0</v>
          </cell>
        </row>
        <row r="765">
          <cell r="A765" t="str">
            <v>Дивиденды, выплаченные по простым акциям (-)</v>
          </cell>
          <cell r="B765" t="str">
            <v>Dividends paid for ordinary shares (-)</v>
          </cell>
          <cell r="D765" t="str">
            <v>тыс.руб.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</row>
        <row r="767">
          <cell r="A767" t="str">
            <v>5. ПРОЧИЕ РАСХОДЫ ИЗ ЧИСТОЙ ПРИБЫЛИ</v>
          </cell>
          <cell r="B767" t="str">
            <v>5. OTHER PAYMENTS FROM NET PROFIT</v>
          </cell>
        </row>
        <row r="769">
          <cell r="A769" t="str">
            <v> - Расходы по конвертации</v>
          </cell>
          <cell r="B769" t="str">
            <v> - Foreign currency exchange expenditures</v>
          </cell>
          <cell r="D769" t="str">
            <v>тыс.руб.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L769">
            <v>0</v>
          </cell>
        </row>
        <row r="770">
          <cell r="A770" t="str">
            <v> - прочие расходы(-)</v>
          </cell>
          <cell r="B770" t="str">
            <v> - other payments (-)</v>
          </cell>
          <cell r="D770" t="str">
            <v>тыс.руб.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L770">
            <v>0</v>
          </cell>
        </row>
        <row r="771">
          <cell r="A771" t="str">
            <v> = Итого прочие расходы из чистой прибыли</v>
          </cell>
          <cell r="B771" t="str">
            <v> = Total other payments from net profit</v>
          </cell>
          <cell r="D771" t="str">
            <v>тыс.руб.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L771">
            <v>0</v>
          </cell>
        </row>
        <row r="772">
          <cell r="A772" t="str">
            <v>НДС к прочим расходам из чистой прибыли</v>
          </cell>
          <cell r="B772" t="str">
            <v>VAT to other payments from net profit</v>
          </cell>
          <cell r="C772">
            <v>0.18</v>
          </cell>
          <cell r="D772" t="str">
            <v>тыс.руб.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L772">
            <v>0</v>
          </cell>
        </row>
        <row r="776">
          <cell r="A776" t="str">
            <v>Цт=максимальные Постоянные цены</v>
          </cell>
          <cell r="B776" t="str">
            <v>Цт=максимальные Постоянные цены</v>
          </cell>
          <cell r="AL776" t="str">
            <v>АЛЬТ-Инвест™ 3.0</v>
          </cell>
        </row>
        <row r="777">
          <cell r="A777" t="str">
            <v>ОТЧЕТ О ДВИЖЕНИИ ДЕНЕЖНЫХ СРЕДСТВ (МЕСТНАЯ ВАЛЮТА)</v>
          </cell>
          <cell r="B777" t="str">
            <v>FINANCIAL CASH FLOW STATEMENT (LOCAL CURRENCY)</v>
          </cell>
          <cell r="F777" t="str">
            <v>"0"</v>
          </cell>
          <cell r="G777" t="str">
            <v>1 год</v>
          </cell>
          <cell r="H777" t="str">
            <v>2 год</v>
          </cell>
          <cell r="I777" t="str">
            <v>3 год</v>
          </cell>
          <cell r="J777" t="str">
            <v>4 год</v>
          </cell>
          <cell r="K777" t="str">
            <v>5 год</v>
          </cell>
          <cell r="L777" t="str">
            <v>6 год</v>
          </cell>
          <cell r="M777" t="str">
            <v>7 год</v>
          </cell>
          <cell r="N777" t="str">
            <v>8 год</v>
          </cell>
          <cell r="O777" t="str">
            <v>9 год</v>
          </cell>
          <cell r="P777" t="str">
            <v>10 год</v>
          </cell>
          <cell r="Q777" t="str">
            <v>11 год</v>
          </cell>
          <cell r="R777" t="str">
            <v>12 год</v>
          </cell>
          <cell r="S777" t="str">
            <v>13 год</v>
          </cell>
          <cell r="T777" t="str">
            <v>14 год</v>
          </cell>
          <cell r="U777" t="str">
            <v>15 год</v>
          </cell>
          <cell r="V777" t="str">
            <v>16 год</v>
          </cell>
          <cell r="W777" t="str">
            <v>17 год</v>
          </cell>
          <cell r="X777" t="str">
            <v>18 год</v>
          </cell>
          <cell r="Y777" t="str">
            <v>19 год</v>
          </cell>
          <cell r="Z777" t="str">
            <v>20 год</v>
          </cell>
          <cell r="AA777" t="str">
            <v>21 год</v>
          </cell>
          <cell r="AB777" t="str">
            <v>22 год</v>
          </cell>
          <cell r="AC777" t="str">
            <v>23 год</v>
          </cell>
          <cell r="AD777" t="str">
            <v>24 год</v>
          </cell>
          <cell r="AE777" t="str">
            <v>25 год</v>
          </cell>
          <cell r="AF777" t="str">
            <v>26 год</v>
          </cell>
          <cell r="AG777" t="str">
            <v>27 год</v>
          </cell>
          <cell r="AH777" t="str">
            <v>28 год</v>
          </cell>
          <cell r="AI777" t="str">
            <v>29 год</v>
          </cell>
          <cell r="AJ777" t="str">
            <v>30 год</v>
          </cell>
          <cell r="AL777" t="str">
            <v>ВСЕГО</v>
          </cell>
        </row>
        <row r="779">
          <cell r="A779" t="str">
            <v>1. ПРИТОК ДЕНЕЖНЫХ СРЕДСТВ</v>
          </cell>
          <cell r="B779" t="str">
            <v>1. CASH INFLOWS</v>
          </cell>
        </row>
        <row r="780">
          <cell r="A780" t="str">
            <v> - выручка от реализации</v>
          </cell>
          <cell r="B780" t="str">
            <v> - sales revenues</v>
          </cell>
          <cell r="D780" t="str">
            <v>тыс.руб.</v>
          </cell>
          <cell r="F780">
            <v>0</v>
          </cell>
          <cell r="G780">
            <v>0</v>
          </cell>
          <cell r="H780">
            <v>168618.4120535637</v>
          </cell>
          <cell r="I780">
            <v>196221.2241071274</v>
          </cell>
          <cell r="J780">
            <v>230105.58350928724</v>
          </cell>
          <cell r="K780">
            <v>263989.9429114471</v>
          </cell>
          <cell r="L780">
            <v>297874.3023136069</v>
          </cell>
          <cell r="M780">
            <v>324602.5439709719</v>
          </cell>
          <cell r="N780">
            <v>351330.78562833695</v>
          </cell>
          <cell r="O780">
            <v>378059.02728570194</v>
          </cell>
          <cell r="P780">
            <v>404787.26894306706</v>
          </cell>
          <cell r="Q780">
            <v>431515.51060043194</v>
          </cell>
          <cell r="R780">
            <v>461169.8296141684</v>
          </cell>
          <cell r="S780">
            <v>490824.14862790494</v>
          </cell>
          <cell r="T780">
            <v>520478.4676416415</v>
          </cell>
          <cell r="U780">
            <v>550132.786655378</v>
          </cell>
          <cell r="V780">
            <v>550132.786655378</v>
          </cell>
          <cell r="W780">
            <v>550132.786655378</v>
          </cell>
          <cell r="X780">
            <v>550132.786655378</v>
          </cell>
          <cell r="Y780">
            <v>550132.786655378</v>
          </cell>
          <cell r="Z780">
            <v>550132.786655378</v>
          </cell>
          <cell r="AA780">
            <v>550132.786655378</v>
          </cell>
          <cell r="AB780">
            <v>550132.786655378</v>
          </cell>
          <cell r="AC780">
            <v>550132.786655378</v>
          </cell>
          <cell r="AD780">
            <v>550132.786655378</v>
          </cell>
          <cell r="AE780">
            <v>550132.786655378</v>
          </cell>
          <cell r="AF780">
            <v>550132.786655378</v>
          </cell>
          <cell r="AG780">
            <v>550132.786655378</v>
          </cell>
          <cell r="AH780">
            <v>550132.786655378</v>
          </cell>
          <cell r="AI780">
            <v>550132.786655378</v>
          </cell>
          <cell r="AJ780">
            <v>550132.786655378</v>
          </cell>
          <cell r="AL780">
            <v>13321701.633693298</v>
          </cell>
        </row>
        <row r="781">
          <cell r="A781" t="str">
            <v> - выручка от реализации постоянных активов</v>
          </cell>
          <cell r="B781" t="str">
            <v> - gain on disposal of fixed assets</v>
          </cell>
          <cell r="D781" t="str">
            <v>тыс.руб.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L781">
            <v>0</v>
          </cell>
        </row>
        <row r="782">
          <cell r="A782" t="str">
            <v> - доходы от прочей реализации и внереализационные доходы</v>
          </cell>
          <cell r="B782" t="str">
            <v> - other (non-operation) &amp; miscellaneous profit</v>
          </cell>
          <cell r="D782" t="str">
            <v>тыс.руб.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L782">
            <v>0</v>
          </cell>
        </row>
        <row r="783">
          <cell r="A783" t="str">
            <v> - прирост нормируемых краткосрочных пассивов</v>
          </cell>
          <cell r="B783" t="str">
            <v> - increase in current liabilities</v>
          </cell>
          <cell r="D783" t="str">
            <v>тыс.руб.</v>
          </cell>
          <cell r="F783">
            <v>0</v>
          </cell>
          <cell r="G783">
            <v>0</v>
          </cell>
          <cell r="H783">
            <v>2054.454306715942</v>
          </cell>
          <cell r="I783">
            <v>285.2699276940989</v>
          </cell>
          <cell r="J783">
            <v>457.23262220358447</v>
          </cell>
          <cell r="K783">
            <v>468.3576982906811</v>
          </cell>
          <cell r="L783">
            <v>467.82669829068163</v>
          </cell>
          <cell r="M783">
            <v>417.3994521892673</v>
          </cell>
          <cell r="N783">
            <v>416.1115547570407</v>
          </cell>
          <cell r="O783">
            <v>415.4411279630385</v>
          </cell>
          <cell r="P783">
            <v>414.75058836522203</v>
          </cell>
          <cell r="Q783">
            <v>414.0393325794603</v>
          </cell>
          <cell r="R783">
            <v>440.33495013330776</v>
          </cell>
          <cell r="S783">
            <v>439.83908621486717</v>
          </cell>
          <cell r="T783">
            <v>439.06187781386416</v>
          </cell>
          <cell r="U783">
            <v>438.2613531608322</v>
          </cell>
          <cell r="V783">
            <v>-34.11188405397206</v>
          </cell>
          <cell r="W783">
            <v>-37.49606972106176</v>
          </cell>
          <cell r="X783">
            <v>-38.37082462359376</v>
          </cell>
          <cell r="Y783">
            <v>-39.271822173198416</v>
          </cell>
          <cell r="Z783">
            <v>-40.19984964929699</v>
          </cell>
          <cell r="AA783">
            <v>-41.15571794967309</v>
          </cell>
          <cell r="AB783">
            <v>-42.14026229906449</v>
          </cell>
          <cell r="AC783">
            <v>-43.154342978938985</v>
          </cell>
          <cell r="AD783">
            <v>-44.19884607920358</v>
          </cell>
          <cell r="AE783">
            <v>-45.27468427248277</v>
          </cell>
          <cell r="AF783">
            <v>-46.38279761155627</v>
          </cell>
          <cell r="AG783">
            <v>-47.524154350802746</v>
          </cell>
          <cell r="AH783">
            <v>-48.69975179222547</v>
          </cell>
          <cell r="AI783">
            <v>82.23339142310488</v>
          </cell>
          <cell r="AJ783">
            <v>-39.37490841749877</v>
          </cell>
          <cell r="AL783">
            <v>7063.258051822424</v>
          </cell>
        </row>
        <row r="784">
          <cell r="A784" t="str">
            <v> - увеличение уставного капитала</v>
          </cell>
          <cell r="B784" t="str">
            <v> - increase in statutory equity</v>
          </cell>
          <cell r="D784" t="str">
            <v>тыс.руб.</v>
          </cell>
          <cell r="F784">
            <v>539186.756392189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L784">
            <v>539186.756392189</v>
          </cell>
        </row>
        <row r="785">
          <cell r="A785" t="str">
            <v> - целевые финансирование и поступления</v>
          </cell>
          <cell r="B785" t="str">
            <v> - target financing (financing from a public finance)</v>
          </cell>
          <cell r="D785" t="str">
            <v>тыс.руб.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L785">
            <v>0</v>
          </cell>
        </row>
        <row r="786">
          <cell r="A786" t="str">
            <v> - привлечение кредитов</v>
          </cell>
          <cell r="B786" t="str">
            <v> - loans obtained</v>
          </cell>
          <cell r="D786" t="str">
            <v>тыс.руб.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L786">
            <v>0</v>
          </cell>
        </row>
        <row r="787">
          <cell r="A787" t="str">
            <v> - поступления от продажи иностранной валюты</v>
          </cell>
          <cell r="B787" t="str">
            <v> - revenues from foreign currency selling</v>
          </cell>
          <cell r="D787" t="str">
            <v>тыс.руб.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L787">
            <v>0</v>
          </cell>
        </row>
        <row r="788">
          <cell r="A788" t="str">
            <v> = Итого приток</v>
          </cell>
          <cell r="B788" t="str">
            <v> = Total inflow</v>
          </cell>
          <cell r="D788" t="str">
            <v>тыс.руб.</v>
          </cell>
          <cell r="F788">
            <v>539186.756392189</v>
          </cell>
          <cell r="G788">
            <v>0</v>
          </cell>
          <cell r="H788">
            <v>170672.86636027964</v>
          </cell>
          <cell r="I788">
            <v>196506.49403482152</v>
          </cell>
          <cell r="J788">
            <v>230562.81613149084</v>
          </cell>
          <cell r="K788">
            <v>264458.30060973775</v>
          </cell>
          <cell r="L788">
            <v>298342.1290118976</v>
          </cell>
          <cell r="M788">
            <v>325019.94342316117</v>
          </cell>
          <cell r="N788">
            <v>351746.897183094</v>
          </cell>
          <cell r="O788">
            <v>378474.46841366496</v>
          </cell>
          <cell r="P788">
            <v>405202.0195314323</v>
          </cell>
          <cell r="Q788">
            <v>431929.5499330114</v>
          </cell>
          <cell r="R788">
            <v>461610.16456430167</v>
          </cell>
          <cell r="S788">
            <v>491263.98771411984</v>
          </cell>
          <cell r="T788">
            <v>520917.5295194554</v>
          </cell>
          <cell r="U788">
            <v>550571.0480085388</v>
          </cell>
          <cell r="V788">
            <v>550098.6747713239</v>
          </cell>
          <cell r="W788">
            <v>550095.2905856569</v>
          </cell>
          <cell r="X788">
            <v>550094.4158307543</v>
          </cell>
          <cell r="Y788">
            <v>550093.5148332048</v>
          </cell>
          <cell r="Z788">
            <v>550092.5868057286</v>
          </cell>
          <cell r="AA788">
            <v>550091.6309374283</v>
          </cell>
          <cell r="AB788">
            <v>550090.6463930788</v>
          </cell>
          <cell r="AC788">
            <v>550089.632312399</v>
          </cell>
          <cell r="AD788">
            <v>550088.5878092988</v>
          </cell>
          <cell r="AE788">
            <v>550087.5119711055</v>
          </cell>
          <cell r="AF788">
            <v>550086.4038577664</v>
          </cell>
          <cell r="AG788">
            <v>550085.2625010271</v>
          </cell>
          <cell r="AH788">
            <v>550084.0869035857</v>
          </cell>
          <cell r="AI788">
            <v>550215.0200468011</v>
          </cell>
          <cell r="AJ788">
            <v>550093.4117469605</v>
          </cell>
          <cell r="AK788">
            <v>0</v>
          </cell>
          <cell r="AL788">
            <v>13867951.648137312</v>
          </cell>
        </row>
        <row r="790">
          <cell r="A790" t="str">
            <v>2. ОТТОК ДЕНЕЖНЫХ СРЕДСТВ</v>
          </cell>
          <cell r="B790" t="str">
            <v>2. CASH OUTFLOWS</v>
          </cell>
        </row>
        <row r="791">
          <cell r="A791" t="str">
            <v> - эксплуатационные расходы</v>
          </cell>
          <cell r="B791" t="str">
            <v> - operating costs</v>
          </cell>
          <cell r="D791" t="str">
            <v>тыс.руб.</v>
          </cell>
          <cell r="F791">
            <v>0</v>
          </cell>
          <cell r="G791">
            <v>0</v>
          </cell>
          <cell r="H791">
            <v>-104586.82019999999</v>
          </cell>
          <cell r="I791">
            <v>-123126.44256</v>
          </cell>
          <cell r="J791">
            <v>-141866.83164</v>
          </cell>
          <cell r="K791">
            <v>-160253.22072</v>
          </cell>
          <cell r="L791">
            <v>-178657.3098</v>
          </cell>
          <cell r="M791">
            <v>-191523.212064</v>
          </cell>
          <cell r="N791">
            <v>-204410.81098799998</v>
          </cell>
          <cell r="O791">
            <v>-217320.75747179997</v>
          </cell>
          <cell r="P791">
            <v>-230253.72194219395</v>
          </cell>
          <cell r="Q791">
            <v>-243210.3949387798</v>
          </cell>
          <cell r="R791">
            <v>-258242.31706934317</v>
          </cell>
          <cell r="S791">
            <v>-273299.3915753435</v>
          </cell>
          <cell r="T791">
            <v>-288382.37302804383</v>
          </cell>
          <cell r="U791">
            <v>-303492.0386358452</v>
          </cell>
          <cell r="V791">
            <v>-304435.6793074005</v>
          </cell>
          <cell r="W791">
            <v>-305407.6291991025</v>
          </cell>
          <cell r="X791">
            <v>-306408.7375875556</v>
          </cell>
          <cell r="Y791">
            <v>-307439.8792276623</v>
          </cell>
          <cell r="Z791">
            <v>-308501.95511697215</v>
          </cell>
          <cell r="AA791">
            <v>-309595.8932829613</v>
          </cell>
          <cell r="AB791">
            <v>-310722.6495939301</v>
          </cell>
          <cell r="AC791">
            <v>-311883.208594228</v>
          </cell>
          <cell r="AD791">
            <v>-313078.5843645349</v>
          </cell>
          <cell r="AE791">
            <v>-314309.82140795095</v>
          </cell>
          <cell r="AF791">
            <v>-315577.9955626695</v>
          </cell>
          <cell r="AG791">
            <v>-316884.21494202956</v>
          </cell>
          <cell r="AH791">
            <v>-318229.62090277043</v>
          </cell>
          <cell r="AI791">
            <v>-319615.3890423335</v>
          </cell>
          <cell r="AJ791">
            <v>-321042.73022608354</v>
          </cell>
          <cell r="AL791">
            <v>-7601759.630991534</v>
          </cell>
        </row>
        <row r="792">
          <cell r="A792" t="str">
            <v> - лизинговые платежи (начисленные)</v>
          </cell>
          <cell r="B792" t="str">
            <v> - leasing payments (charged)</v>
          </cell>
          <cell r="D792" t="str">
            <v>тыс.руб.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L792">
            <v>0</v>
          </cell>
        </row>
        <row r="793">
          <cell r="A793" t="str">
            <v> - коммерческие расходы</v>
          </cell>
          <cell r="B793" t="str">
            <v> - marketing costs</v>
          </cell>
          <cell r="D793" t="str">
            <v>тыс.руб.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L793">
            <v>0</v>
          </cell>
        </row>
        <row r="794">
          <cell r="A794" t="str">
            <v> - налоговые выплаты</v>
          </cell>
          <cell r="B794" t="str">
            <v> - tax payments</v>
          </cell>
          <cell r="D794" t="str">
            <v>тыс.руб.</v>
          </cell>
          <cell r="F794">
            <v>0</v>
          </cell>
          <cell r="G794">
            <v>0</v>
          </cell>
          <cell r="H794">
            <v>-18121.818574263172</v>
          </cell>
          <cell r="I794">
            <v>-20680.0061163516</v>
          </cell>
          <cell r="J794">
            <v>-24676.710688001876</v>
          </cell>
          <cell r="K794">
            <v>-28762.415868348922</v>
          </cell>
          <cell r="L794">
            <v>-32843.873048695976</v>
          </cell>
          <cell r="M794">
            <v>-36450.35108278377</v>
          </cell>
          <cell r="N794">
            <v>-40046.52593741374</v>
          </cell>
          <cell r="O794">
            <v>-43637.3373776917</v>
          </cell>
          <cell r="P794">
            <v>-47222.62450118713</v>
          </cell>
          <cell r="Q794">
            <v>-50802.22157839645</v>
          </cell>
          <cell r="R794">
            <v>-54621.444369600285</v>
          </cell>
          <cell r="S794">
            <v>-58436.700249456575</v>
          </cell>
          <cell r="T794">
            <v>-62245.73846210486</v>
          </cell>
          <cell r="U794">
            <v>-66048.37247752889</v>
          </cell>
          <cell r="V794">
            <v>-65775.4774050971</v>
          </cell>
          <cell r="W794">
            <v>-65475.508847328616</v>
          </cell>
          <cell r="X794">
            <v>-65168.54225033987</v>
          </cell>
          <cell r="Y794">
            <v>-64854.36767295428</v>
          </cell>
          <cell r="Z794">
            <v>-64532.76887575991</v>
          </cell>
          <cell r="AA794">
            <v>-64203.52313216252</v>
          </cell>
          <cell r="AB794">
            <v>-63866.40103377</v>
          </cell>
          <cell r="AC794">
            <v>-63521.1662899385</v>
          </cell>
          <cell r="AD794">
            <v>-63167.575521304854</v>
          </cell>
          <cell r="AE794">
            <v>-62805.378047125</v>
          </cell>
          <cell r="AF794">
            <v>-62434.31566623255</v>
          </cell>
          <cell r="AG794">
            <v>-62054.122431426134</v>
          </cell>
          <cell r="AH794">
            <v>-61664.52441708832</v>
          </cell>
          <cell r="AI794">
            <v>-62322.391548473155</v>
          </cell>
          <cell r="AJ794">
            <v>-62007.39228113317</v>
          </cell>
          <cell r="AL794">
            <v>-1538449.5957519587</v>
          </cell>
        </row>
        <row r="795">
          <cell r="A795" t="str">
            <v> - убытки от прочей реализации и внереализационные расходы</v>
          </cell>
          <cell r="B795" t="str">
            <v> - other (non-operation) &amp; miscellaneous loss</v>
          </cell>
          <cell r="D795" t="str">
            <v>тыс.руб.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L795">
            <v>0</v>
          </cell>
        </row>
        <row r="796">
          <cell r="A796" t="str">
            <v> - дивиденды выплаченные</v>
          </cell>
          <cell r="B796" t="str">
            <v> - dividends payable</v>
          </cell>
          <cell r="D796" t="str">
            <v>тыс.руб.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L796">
            <v>0</v>
          </cell>
        </row>
        <row r="797">
          <cell r="A797" t="str">
            <v> - прочие расходы из чистой прибыли</v>
          </cell>
          <cell r="B797" t="str">
            <v> - other payments from a net profit</v>
          </cell>
          <cell r="D797" t="str">
            <v>тыс.руб.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L797">
            <v>0</v>
          </cell>
        </row>
        <row r="798">
          <cell r="A798" t="str">
            <v> - прирост постоянных активов</v>
          </cell>
          <cell r="B798" t="str">
            <v> - increase in fixed assets</v>
          </cell>
          <cell r="D798" t="str">
            <v>тыс.руб.</v>
          </cell>
          <cell r="F798">
            <v>0</v>
          </cell>
          <cell r="G798">
            <v>-118599.9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L798">
            <v>-118599.9</v>
          </cell>
        </row>
        <row r="799">
          <cell r="A799" t="str">
            <v> - прирост нормирумых оборотных активов</v>
          </cell>
          <cell r="B799" t="str">
            <v> - increase in current assets</v>
          </cell>
          <cell r="D799" t="str">
            <v>тыс.руб.</v>
          </cell>
          <cell r="F799">
            <v>0</v>
          </cell>
          <cell r="G799">
            <v>-22744.4025255</v>
          </cell>
          <cell r="H799">
            <v>-22344.26484669697</v>
          </cell>
          <cell r="I799">
            <v>-10723.884560296974</v>
          </cell>
          <cell r="J799">
            <v>-12101.895921746654</v>
          </cell>
          <cell r="K799">
            <v>-12896.206004146661</v>
          </cell>
          <cell r="L799">
            <v>-13642.719386506651</v>
          </cell>
          <cell r="M799">
            <v>-13045.044589027093</v>
          </cell>
          <cell r="N799">
            <v>-13069.141010647087</v>
          </cell>
          <cell r="O799">
            <v>-13097.323998178064</v>
          </cell>
          <cell r="P799">
            <v>-13129.716148597421</v>
          </cell>
          <cell r="Q799">
            <v>-13200.054551171721</v>
          </cell>
          <cell r="R799">
            <v>-13752.021183331846</v>
          </cell>
          <cell r="S799">
            <v>-14064.747501729871</v>
          </cell>
          <cell r="T799">
            <v>-14382.211270041473</v>
          </cell>
          <cell r="U799">
            <v>-14471.93875972397</v>
          </cell>
          <cell r="V799">
            <v>-12173.30348963497</v>
          </cell>
          <cell r="W799">
            <v>-12351.038210122439</v>
          </cell>
          <cell r="X799">
            <v>-12534.104972224566</v>
          </cell>
          <cell r="Y799">
            <v>-12722.663737189636</v>
          </cell>
          <cell r="Z799">
            <v>-12916.879265103838</v>
          </cell>
          <cell r="AA799">
            <v>-13116.921258855262</v>
          </cell>
          <cell r="AB799">
            <v>-13322.964512419363</v>
          </cell>
          <cell r="AC799">
            <v>-13535.18906359037</v>
          </cell>
          <cell r="AD799">
            <v>-13753.780351296416</v>
          </cell>
          <cell r="AE799">
            <v>-13978.929377633729</v>
          </cell>
          <cell r="AF799">
            <v>-14210.832874761196</v>
          </cell>
          <cell r="AG799">
            <v>-14449.693476802378</v>
          </cell>
          <cell r="AH799">
            <v>-14695.719896904891</v>
          </cell>
          <cell r="AI799">
            <v>-14949.12710961036</v>
          </cell>
          <cell r="AJ799">
            <v>-15210.136538697057</v>
          </cell>
          <cell r="AL799">
            <v>-420586.8563921889</v>
          </cell>
        </row>
        <row r="800">
          <cell r="A800" t="str">
            <v> - общая сумма выплат по кредитам</v>
          </cell>
          <cell r="B800" t="str">
            <v> - total debt service payments</v>
          </cell>
          <cell r="D800" t="str">
            <v>тыс.руб.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L800">
            <v>0</v>
          </cell>
        </row>
        <row r="801">
          <cell r="A801" t="str">
            <v> - расходы на покупку иностранной валюты</v>
          </cell>
          <cell r="B801" t="str">
            <v> - expenditures on foreign currency purchasing</v>
          </cell>
          <cell r="D801" t="str">
            <v>тыс.руб.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L801">
            <v>0</v>
          </cell>
        </row>
        <row r="802">
          <cell r="A802" t="str">
            <v> = Итого отток</v>
          </cell>
          <cell r="B802" t="str">
            <v> = Total outflow</v>
          </cell>
          <cell r="D802" t="str">
            <v>тыс.руб.</v>
          </cell>
          <cell r="F802">
            <v>0</v>
          </cell>
          <cell r="G802">
            <v>-141344.3025255</v>
          </cell>
          <cell r="H802">
            <v>-145052.90362096013</v>
          </cell>
          <cell r="I802">
            <v>-154530.33323664858</v>
          </cell>
          <cell r="J802">
            <v>-178645.43824974852</v>
          </cell>
          <cell r="K802">
            <v>-201911.8425924956</v>
          </cell>
          <cell r="L802">
            <v>-225143.9022352026</v>
          </cell>
          <cell r="M802">
            <v>-241018.60773581086</v>
          </cell>
          <cell r="N802">
            <v>-257526.4779360608</v>
          </cell>
          <cell r="O802">
            <v>-274055.41884766973</v>
          </cell>
          <cell r="P802">
            <v>-290606.0625919785</v>
          </cell>
          <cell r="Q802">
            <v>-307212.671068348</v>
          </cell>
          <cell r="R802">
            <v>-326615.7826222753</v>
          </cell>
          <cell r="S802">
            <v>-345800.83932652994</v>
          </cell>
          <cell r="T802">
            <v>-365010.3227601902</v>
          </cell>
          <cell r="U802">
            <v>-384012.349873098</v>
          </cell>
          <cell r="V802">
            <v>-382384.4602021326</v>
          </cell>
          <cell r="W802">
            <v>-383234.17625655356</v>
          </cell>
          <cell r="X802">
            <v>-384111.38481012004</v>
          </cell>
          <cell r="Y802">
            <v>-385016.91063780617</v>
          </cell>
          <cell r="Z802">
            <v>-385951.6032578359</v>
          </cell>
          <cell r="AA802">
            <v>-386916.33767397905</v>
          </cell>
          <cell r="AB802">
            <v>-387912.0151401195</v>
          </cell>
          <cell r="AC802">
            <v>-388939.5639477569</v>
          </cell>
          <cell r="AD802">
            <v>-389999.94023713615</v>
          </cell>
          <cell r="AE802">
            <v>-391094.1288327097</v>
          </cell>
          <cell r="AF802">
            <v>-392223.1441036632</v>
          </cell>
          <cell r="AG802">
            <v>-393388.0308502581</v>
          </cell>
          <cell r="AH802">
            <v>-394589.86521676363</v>
          </cell>
          <cell r="AI802">
            <v>-396886.90770041704</v>
          </cell>
          <cell r="AJ802">
            <v>-398260.25904591376</v>
          </cell>
          <cell r="AL802">
            <v>-9679395.983135682</v>
          </cell>
        </row>
        <row r="804">
          <cell r="A804" t="str">
            <v> = Баланс денежных средств в местной валюте</v>
          </cell>
          <cell r="B804" t="str">
            <v> = Cash balance in local curency</v>
          </cell>
          <cell r="D804" t="str">
            <v>тыс.руб.</v>
          </cell>
          <cell r="F804">
            <v>539186.756392189</v>
          </cell>
          <cell r="G804">
            <v>-141344.3025255</v>
          </cell>
          <cell r="H804">
            <v>25619.96273931951</v>
          </cell>
          <cell r="I804">
            <v>41976.16079817293</v>
          </cell>
          <cell r="J804">
            <v>51917.377881742315</v>
          </cell>
          <cell r="K804">
            <v>62546.45801724214</v>
          </cell>
          <cell r="L804">
            <v>73198.226776695</v>
          </cell>
          <cell r="M804">
            <v>84001.3356873503</v>
          </cell>
          <cell r="N804">
            <v>94220.41924703319</v>
          </cell>
          <cell r="O804">
            <v>104419.04956599523</v>
          </cell>
          <cell r="P804">
            <v>114595.95693945378</v>
          </cell>
          <cell r="Q804">
            <v>124716.87886466342</v>
          </cell>
          <cell r="R804">
            <v>134994.38194202638</v>
          </cell>
          <cell r="S804">
            <v>145463.1483875899</v>
          </cell>
          <cell r="T804">
            <v>155907.20675926522</v>
          </cell>
          <cell r="U804">
            <v>166558.69813544076</v>
          </cell>
          <cell r="V804">
            <v>167714.21456919133</v>
          </cell>
          <cell r="W804">
            <v>166861.11432910332</v>
          </cell>
          <cell r="X804">
            <v>165983.03102063428</v>
          </cell>
          <cell r="Y804">
            <v>165076.60419539863</v>
          </cell>
          <cell r="Z804">
            <v>164140.9835478927</v>
          </cell>
          <cell r="AA804">
            <v>163175.29326344928</v>
          </cell>
          <cell r="AB804">
            <v>162178.63125295937</v>
          </cell>
          <cell r="AC804">
            <v>161150.0683646421</v>
          </cell>
          <cell r="AD804">
            <v>160088.64757216262</v>
          </cell>
          <cell r="AE804">
            <v>158993.3831383958</v>
          </cell>
          <cell r="AF804">
            <v>157863.2597541032</v>
          </cell>
          <cell r="AG804">
            <v>156697.231650769</v>
          </cell>
          <cell r="AH804">
            <v>155494.22168682207</v>
          </cell>
          <cell r="AI804">
            <v>153328.11234638403</v>
          </cell>
          <cell r="AJ804">
            <v>151833.15270104673</v>
          </cell>
          <cell r="AL804">
            <v>4188555.665001634</v>
          </cell>
        </row>
        <row r="805">
          <cell r="A805" t="str">
            <v> = Свободная местная валюта</v>
          </cell>
          <cell r="B805" t="str">
            <v> = The same, accumulated (free cash in local currency)</v>
          </cell>
          <cell r="D805" t="str">
            <v>тыс.руб.</v>
          </cell>
          <cell r="E805" t="str">
            <v>on_end</v>
          </cell>
          <cell r="F805">
            <v>539186.756392189</v>
          </cell>
          <cell r="G805">
            <v>397842.45386668894</v>
          </cell>
          <cell r="H805">
            <v>423462.4166060084</v>
          </cell>
          <cell r="I805">
            <v>465438.57740418136</v>
          </cell>
          <cell r="J805">
            <v>517355.9552859237</v>
          </cell>
          <cell r="K805">
            <v>579902.4133031658</v>
          </cell>
          <cell r="L805">
            <v>653100.6400798608</v>
          </cell>
          <cell r="M805">
            <v>737101.975767211</v>
          </cell>
          <cell r="N805">
            <v>831322.3950142442</v>
          </cell>
          <cell r="O805">
            <v>935741.4445802395</v>
          </cell>
          <cell r="P805">
            <v>1050337.4015196932</v>
          </cell>
          <cell r="Q805">
            <v>1175054.2803843566</v>
          </cell>
          <cell r="R805">
            <v>1310048.662326383</v>
          </cell>
          <cell r="S805">
            <v>1455511.810713973</v>
          </cell>
          <cell r="T805">
            <v>1611419.017473238</v>
          </cell>
          <cell r="U805">
            <v>1777977.7156086788</v>
          </cell>
          <cell r="V805">
            <v>1945691.9301778702</v>
          </cell>
          <cell r="W805">
            <v>2112553.0445069736</v>
          </cell>
          <cell r="X805">
            <v>2278536.075527608</v>
          </cell>
          <cell r="Y805">
            <v>2443612.6797230067</v>
          </cell>
          <cell r="Z805">
            <v>2607753.6632708996</v>
          </cell>
          <cell r="AA805">
            <v>2770928.956534349</v>
          </cell>
          <cell r="AB805">
            <v>2933107.5877873083</v>
          </cell>
          <cell r="AC805">
            <v>3094257.6561519504</v>
          </cell>
          <cell r="AD805">
            <v>3254346.303724113</v>
          </cell>
          <cell r="AE805">
            <v>3413339.6868625088</v>
          </cell>
          <cell r="AF805">
            <v>3571202.946616612</v>
          </cell>
          <cell r="AG805">
            <v>3727900.178267381</v>
          </cell>
          <cell r="AH805">
            <v>3883394.399954203</v>
          </cell>
          <cell r="AI805">
            <v>4036722.5123005873</v>
          </cell>
          <cell r="AJ805">
            <v>4188555.665001634</v>
          </cell>
          <cell r="AL805">
            <v>4188555.665001634</v>
          </cell>
        </row>
        <row r="809">
          <cell r="A809" t="str">
            <v>Цт=максимальные Постоянные цены</v>
          </cell>
          <cell r="B809" t="str">
            <v>Цт=максимальные Постоянные цены</v>
          </cell>
          <cell r="AL809" t="str">
            <v>АЛЬТ-Инвест™ 3.0</v>
          </cell>
        </row>
        <row r="810">
          <cell r="A810" t="str">
            <v>ОПЕРАЦИИ С ИНОСТРАННОЙ ВАЛЮТОЙ</v>
          </cell>
          <cell r="B810" t="str">
            <v>OPERATIONS WITH FOREIGN CURRENCY</v>
          </cell>
          <cell r="F810" t="str">
            <v>"0"</v>
          </cell>
          <cell r="G810" t="str">
            <v>1 год</v>
          </cell>
          <cell r="H810" t="str">
            <v>2 год</v>
          </cell>
          <cell r="I810" t="str">
            <v>3 год</v>
          </cell>
          <cell r="J810" t="str">
            <v>4 год</v>
          </cell>
          <cell r="K810" t="str">
            <v>5 год</v>
          </cell>
          <cell r="L810" t="str">
            <v>6 год</v>
          </cell>
          <cell r="M810" t="str">
            <v>7 год</v>
          </cell>
          <cell r="N810" t="str">
            <v>8 год</v>
          </cell>
          <cell r="O810" t="str">
            <v>9 год</v>
          </cell>
          <cell r="P810" t="str">
            <v>10 год</v>
          </cell>
          <cell r="Q810" t="str">
            <v>11 год</v>
          </cell>
          <cell r="R810" t="str">
            <v>12 год</v>
          </cell>
          <cell r="S810" t="str">
            <v>13 год</v>
          </cell>
          <cell r="T810" t="str">
            <v>14 год</v>
          </cell>
          <cell r="U810" t="str">
            <v>15 год</v>
          </cell>
          <cell r="V810" t="str">
            <v>16 год</v>
          </cell>
          <cell r="W810" t="str">
            <v>17 год</v>
          </cell>
          <cell r="X810" t="str">
            <v>18 год</v>
          </cell>
          <cell r="Y810" t="str">
            <v>19 год</v>
          </cell>
          <cell r="Z810" t="str">
            <v>20 год</v>
          </cell>
          <cell r="AA810" t="str">
            <v>21 год</v>
          </cell>
          <cell r="AB810" t="str">
            <v>22 год</v>
          </cell>
          <cell r="AC810" t="str">
            <v>23 год</v>
          </cell>
          <cell r="AD810" t="str">
            <v>24 год</v>
          </cell>
          <cell r="AE810" t="str">
            <v>25 год</v>
          </cell>
          <cell r="AF810" t="str">
            <v>26 год</v>
          </cell>
          <cell r="AG810" t="str">
            <v>27 год</v>
          </cell>
          <cell r="AH810" t="str">
            <v>28 год</v>
          </cell>
          <cell r="AI810" t="str">
            <v>29 год</v>
          </cell>
          <cell r="AJ810" t="str">
            <v>30 год</v>
          </cell>
          <cell r="AL810" t="str">
            <v>ВСЕГО</v>
          </cell>
        </row>
        <row r="812">
          <cell r="A812" t="str">
            <v>Доля выручки в иностранной валюте,</v>
          </cell>
          <cell r="B812" t="str">
            <v>The share of revenues in foreign</v>
          </cell>
        </row>
        <row r="813">
          <cell r="A813" t="str">
            <v> подлежащей обязательной продаже</v>
          </cell>
          <cell r="B813" t="str">
            <v> currency ought to be sold</v>
          </cell>
          <cell r="D813" t="str">
            <v>%</v>
          </cell>
          <cell r="E813" t="str">
            <v>on_end</v>
          </cell>
          <cell r="F813">
            <v>0.5</v>
          </cell>
          <cell r="G813">
            <v>0.5</v>
          </cell>
          <cell r="H813">
            <v>0.5</v>
          </cell>
          <cell r="I813">
            <v>0.5</v>
          </cell>
          <cell r="J813">
            <v>0.5</v>
          </cell>
          <cell r="K813">
            <v>0.5</v>
          </cell>
          <cell r="L813">
            <v>0.5</v>
          </cell>
          <cell r="M813">
            <v>0.5</v>
          </cell>
          <cell r="N813">
            <v>0.5</v>
          </cell>
          <cell r="O813">
            <v>0.5</v>
          </cell>
          <cell r="P813">
            <v>0.5</v>
          </cell>
          <cell r="Q813">
            <v>0.5</v>
          </cell>
          <cell r="R813">
            <v>0.5</v>
          </cell>
          <cell r="S813">
            <v>0.5</v>
          </cell>
          <cell r="T813">
            <v>0.5</v>
          </cell>
          <cell r="U813">
            <v>0.5</v>
          </cell>
          <cell r="V813">
            <v>0.5</v>
          </cell>
          <cell r="W813">
            <v>0.5</v>
          </cell>
          <cell r="X813">
            <v>0.5</v>
          </cell>
          <cell r="Y813">
            <v>0.5</v>
          </cell>
          <cell r="Z813">
            <v>0.5</v>
          </cell>
          <cell r="AA813">
            <v>0.5</v>
          </cell>
          <cell r="AB813">
            <v>0.5</v>
          </cell>
          <cell r="AC813">
            <v>0.5</v>
          </cell>
          <cell r="AD813">
            <v>0.5</v>
          </cell>
          <cell r="AE813">
            <v>0.5</v>
          </cell>
          <cell r="AF813">
            <v>0.5</v>
          </cell>
          <cell r="AG813">
            <v>0.5</v>
          </cell>
          <cell r="AH813">
            <v>0.5</v>
          </cell>
          <cell r="AI813">
            <v>0.5</v>
          </cell>
          <cell r="AJ813">
            <v>0.5</v>
          </cell>
          <cell r="AL813" t="str">
            <v>-</v>
          </cell>
        </row>
        <row r="814">
          <cell r="A814" t="str">
            <v>Сумма проданной валютной выручки (-)</v>
          </cell>
          <cell r="B814" t="str">
            <v>Sum of foreign currency sold (-)</v>
          </cell>
          <cell r="D814" t="str">
            <v>тыс.долл.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L814">
            <v>0</v>
          </cell>
        </row>
        <row r="816">
          <cell r="A816" t="str">
            <v>Валютный баланс, нарастающим итогом</v>
          </cell>
          <cell r="B816" t="str">
            <v>Accumulated cash balance in foreign currency</v>
          </cell>
          <cell r="D816" t="str">
            <v>тыс.долл.</v>
          </cell>
          <cell r="E816" t="str">
            <v>on_end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A817" t="str">
            <v>Дополнительная покупка (+) или продажа (-) валюты</v>
          </cell>
          <cell r="B817" t="str">
            <v>Additional foreign currency purchasing (+) or selling (-)</v>
          </cell>
          <cell r="C817">
            <v>1</v>
          </cell>
          <cell r="D817" t="str">
            <v>тыс.долл.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L817">
            <v>0</v>
          </cell>
        </row>
        <row r="819">
          <cell r="A819" t="str">
            <v>Ставка комиссионного вознаграждения</v>
          </cell>
          <cell r="B819" t="str">
            <v>Exchange premium rate</v>
          </cell>
          <cell r="D819" t="str">
            <v>%</v>
          </cell>
          <cell r="E819" t="str">
            <v>,on_end</v>
          </cell>
          <cell r="F819">
            <v>0.01</v>
          </cell>
          <cell r="G819">
            <v>0.01</v>
          </cell>
          <cell r="H819">
            <v>0.01</v>
          </cell>
          <cell r="I819">
            <v>0.01</v>
          </cell>
          <cell r="J819">
            <v>0.01</v>
          </cell>
          <cell r="K819">
            <v>0.01</v>
          </cell>
          <cell r="L819">
            <v>0.01</v>
          </cell>
          <cell r="M819">
            <v>0.01</v>
          </cell>
          <cell r="N819">
            <v>0.01</v>
          </cell>
          <cell r="O819">
            <v>0.01</v>
          </cell>
          <cell r="P819">
            <v>0.01</v>
          </cell>
          <cell r="Q819">
            <v>0.01</v>
          </cell>
          <cell r="R819">
            <v>0.01</v>
          </cell>
          <cell r="S819">
            <v>0.01</v>
          </cell>
          <cell r="T819">
            <v>0.01</v>
          </cell>
          <cell r="U819">
            <v>0.01</v>
          </cell>
          <cell r="V819">
            <v>0.01</v>
          </cell>
          <cell r="W819">
            <v>0.01</v>
          </cell>
          <cell r="X819">
            <v>0.01</v>
          </cell>
          <cell r="Y819">
            <v>0.01</v>
          </cell>
          <cell r="Z819">
            <v>0.01</v>
          </cell>
          <cell r="AA819">
            <v>0.01</v>
          </cell>
          <cell r="AB819">
            <v>0.01</v>
          </cell>
          <cell r="AC819">
            <v>0.01</v>
          </cell>
          <cell r="AD819">
            <v>0.01</v>
          </cell>
          <cell r="AE819">
            <v>0.01</v>
          </cell>
          <cell r="AF819">
            <v>0.01</v>
          </cell>
          <cell r="AG819">
            <v>0.01</v>
          </cell>
          <cell r="AH819">
            <v>0.01</v>
          </cell>
          <cell r="AI819">
            <v>0.01</v>
          </cell>
          <cell r="AJ819">
            <v>0.01</v>
          </cell>
          <cell r="AL819" t="str">
            <v>-</v>
          </cell>
        </row>
        <row r="820">
          <cell r="A820" t="str">
            <v>Сумма комиссионного вознаграждения при конвертации</v>
          </cell>
          <cell r="B820" t="str">
            <v>Sum of premium</v>
          </cell>
          <cell r="D820" t="str">
            <v>тыс.руб.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L820">
            <v>0</v>
          </cell>
        </row>
        <row r="824">
          <cell r="A824" t="str">
            <v>Цт=максимальные Постоянные цены</v>
          </cell>
          <cell r="B824" t="str">
            <v>Цт=максимальные Постоянные цены</v>
          </cell>
          <cell r="AL824" t="str">
            <v>АЛЬТ-Инвест™ 3.0</v>
          </cell>
        </row>
        <row r="825">
          <cell r="A825" t="str">
            <v>ОТЧЕТ О ДВИЖЕНИИ ДЕНЕЖНЫХ СРЕДСТВ (ИНОСТРАННАЯ ВАЛЮТА)</v>
          </cell>
          <cell r="B825" t="str">
            <v>FINANCIAL CASH FLOW STATEMENT (FOREIGN CURRENCY)</v>
          </cell>
          <cell r="F825" t="str">
            <v>"0"</v>
          </cell>
          <cell r="G825" t="str">
            <v>1 год</v>
          </cell>
          <cell r="H825" t="str">
            <v>2 год</v>
          </cell>
          <cell r="I825" t="str">
            <v>3 год</v>
          </cell>
          <cell r="J825" t="str">
            <v>4 год</v>
          </cell>
          <cell r="K825" t="str">
            <v>5 год</v>
          </cell>
          <cell r="L825" t="str">
            <v>6 год</v>
          </cell>
          <cell r="M825" t="str">
            <v>7 год</v>
          </cell>
          <cell r="N825" t="str">
            <v>8 год</v>
          </cell>
          <cell r="O825" t="str">
            <v>9 год</v>
          </cell>
          <cell r="P825" t="str">
            <v>10 год</v>
          </cell>
          <cell r="Q825" t="str">
            <v>11 год</v>
          </cell>
          <cell r="R825" t="str">
            <v>12 год</v>
          </cell>
          <cell r="S825" t="str">
            <v>13 год</v>
          </cell>
          <cell r="T825" t="str">
            <v>14 год</v>
          </cell>
          <cell r="U825" t="str">
            <v>15 год</v>
          </cell>
          <cell r="V825" t="str">
            <v>16 год</v>
          </cell>
          <cell r="W825" t="str">
            <v>17 год</v>
          </cell>
          <cell r="X825" t="str">
            <v>18 год</v>
          </cell>
          <cell r="Y825" t="str">
            <v>19 год</v>
          </cell>
          <cell r="Z825" t="str">
            <v>20 год</v>
          </cell>
          <cell r="AA825" t="str">
            <v>21 год</v>
          </cell>
          <cell r="AB825" t="str">
            <v>22 год</v>
          </cell>
          <cell r="AC825" t="str">
            <v>23 год</v>
          </cell>
          <cell r="AD825" t="str">
            <v>24 год</v>
          </cell>
          <cell r="AE825" t="str">
            <v>25 год</v>
          </cell>
          <cell r="AF825" t="str">
            <v>26 год</v>
          </cell>
          <cell r="AG825" t="str">
            <v>27 год</v>
          </cell>
          <cell r="AH825" t="str">
            <v>28 год</v>
          </cell>
          <cell r="AI825" t="str">
            <v>29 год</v>
          </cell>
          <cell r="AJ825" t="str">
            <v>30 год</v>
          </cell>
          <cell r="AL825" t="str">
            <v>ВСЕГО</v>
          </cell>
        </row>
        <row r="827">
          <cell r="A827" t="str">
            <v>1. ПРИТОК ДЕНЕЖНЫХ СРЕДСТВ</v>
          </cell>
          <cell r="B827" t="str">
            <v>1. CASH INFLOWS</v>
          </cell>
        </row>
        <row r="828">
          <cell r="A828" t="str">
            <v> - выручка от реализации</v>
          </cell>
          <cell r="B828" t="str">
            <v> - sales revenues</v>
          </cell>
          <cell r="D828" t="str">
            <v>тыс.долл.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L828">
            <v>0</v>
          </cell>
        </row>
        <row r="829">
          <cell r="A829" t="str">
            <v> - прирост нормируемых краткосрочных пассивов</v>
          </cell>
          <cell r="B829" t="str">
            <v> - increase in current liabilities</v>
          </cell>
          <cell r="D829" t="str">
            <v>тыс.долл.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L829">
            <v>0</v>
          </cell>
        </row>
        <row r="830">
          <cell r="A830" t="str">
            <v> - увеличение уставного капитала</v>
          </cell>
          <cell r="B830" t="str">
            <v> - increase in statutory equity</v>
          </cell>
          <cell r="D830" t="str">
            <v>тыс.долл.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L830">
            <v>0</v>
          </cell>
        </row>
        <row r="831">
          <cell r="A831" t="str">
            <v> - целевые финансирование и поступления</v>
          </cell>
          <cell r="B831" t="str">
            <v> - target financing (financing from a public finance)</v>
          </cell>
          <cell r="D831" t="str">
            <v>тыс.долл.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L831">
            <v>0</v>
          </cell>
        </row>
        <row r="832">
          <cell r="A832" t="str">
            <v> - привлечение кредитов</v>
          </cell>
          <cell r="B832" t="str">
            <v> - loans obtained</v>
          </cell>
          <cell r="D832" t="str">
            <v>тыс.долл.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L832">
            <v>0</v>
          </cell>
        </row>
        <row r="833">
          <cell r="A833" t="str">
            <v> - покупка иностранной валюты</v>
          </cell>
          <cell r="B833" t="str">
            <v> - foreign currency purchasing</v>
          </cell>
          <cell r="D833" t="str">
            <v>тыс.долл.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L833">
            <v>0</v>
          </cell>
        </row>
        <row r="834">
          <cell r="A834" t="str">
            <v> = Итого приток</v>
          </cell>
          <cell r="B834" t="str">
            <v> = Total inflow</v>
          </cell>
          <cell r="D834" t="str">
            <v>тыс.долл.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L834">
            <v>0</v>
          </cell>
        </row>
        <row r="836">
          <cell r="A836" t="str">
            <v>2. ОТТОК ДЕНЕЖНЫХ СРЕДСТВ</v>
          </cell>
          <cell r="B836" t="str">
            <v>2. CASH OUTFLOWS</v>
          </cell>
        </row>
        <row r="837">
          <cell r="A837" t="str">
            <v> - эксплуатационные расходы</v>
          </cell>
          <cell r="B837" t="str">
            <v> - operating costs</v>
          </cell>
          <cell r="D837" t="str">
            <v>тыс.долл.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L837">
            <v>0</v>
          </cell>
        </row>
        <row r="838">
          <cell r="A838" t="str">
            <v> - прирост постоянных активов</v>
          </cell>
          <cell r="B838" t="str">
            <v> - increase in fixed assets</v>
          </cell>
          <cell r="D838" t="str">
            <v>тыс.долл.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L838">
            <v>0</v>
          </cell>
        </row>
        <row r="839">
          <cell r="A839" t="str">
            <v> - прирост нормирумых оборотных активов</v>
          </cell>
          <cell r="B839" t="str">
            <v> - increase in current assets</v>
          </cell>
          <cell r="D839" t="str">
            <v>тыс.долл.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L839">
            <v>0</v>
          </cell>
        </row>
        <row r="840">
          <cell r="A840" t="str">
            <v> - общая сумма выплат по кредитам</v>
          </cell>
          <cell r="B840" t="str">
            <v> - total debt service payments</v>
          </cell>
          <cell r="D840" t="str">
            <v>тыс.долл.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L840">
            <v>0</v>
          </cell>
        </row>
        <row r="841">
          <cell r="A841" t="str">
            <v> - продажа иностранной валюты</v>
          </cell>
          <cell r="B841" t="str">
            <v> - foreign currency sale</v>
          </cell>
          <cell r="D841" t="str">
            <v>тыс.долл.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L841">
            <v>0</v>
          </cell>
        </row>
        <row r="842">
          <cell r="A842" t="str">
            <v> = Итого отток</v>
          </cell>
          <cell r="B842" t="str">
            <v> = Total outflow</v>
          </cell>
          <cell r="D842" t="str">
            <v>тыс.долл.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L842">
            <v>0</v>
          </cell>
        </row>
        <row r="844">
          <cell r="A844" t="str">
            <v> = Баланс денежных средств в иностранной валюте</v>
          </cell>
          <cell r="B844" t="str">
            <v> = Cash balance in foreign curency</v>
          </cell>
          <cell r="D844" t="str">
            <v>тыс.долл.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L844">
            <v>0</v>
          </cell>
        </row>
        <row r="845">
          <cell r="A845" t="str">
            <v> = Свободная иностранная валюта</v>
          </cell>
          <cell r="B845" t="str">
            <v> = The same, accumulated (free cash in foreign currency)</v>
          </cell>
          <cell r="D845" t="str">
            <v>тыс.долл.</v>
          </cell>
          <cell r="E845" t="str">
            <v>on_end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L845">
            <v>0</v>
          </cell>
        </row>
        <row r="849">
          <cell r="A849" t="str">
            <v>Цт=максимальные Постоянные цены</v>
          </cell>
          <cell r="B849" t="str">
            <v>Цт=максимальные Постоянные цены</v>
          </cell>
          <cell r="AL849" t="str">
            <v>АЛЬТ-Инвест™ 3.0</v>
          </cell>
        </row>
        <row r="850">
          <cell r="A850" t="str">
            <v>СВОДНЫЙ ОТЧЕТ О ДВИЖЕНИИ ДЕНЕЖНЫХ СРЕДСТВ</v>
          </cell>
          <cell r="B850" t="str">
            <v>INTEGRATED FINANCIAL CASH FLOW STATEMENT</v>
          </cell>
          <cell r="F850" t="str">
            <v>"0"</v>
          </cell>
          <cell r="G850" t="str">
            <v>1 год</v>
          </cell>
          <cell r="H850" t="str">
            <v>2 год</v>
          </cell>
          <cell r="I850" t="str">
            <v>3 год</v>
          </cell>
          <cell r="J850" t="str">
            <v>4 год</v>
          </cell>
          <cell r="K850" t="str">
            <v>5 год</v>
          </cell>
          <cell r="L850" t="str">
            <v>6 год</v>
          </cell>
          <cell r="M850" t="str">
            <v>7 год</v>
          </cell>
          <cell r="N850" t="str">
            <v>8 год</v>
          </cell>
          <cell r="O850" t="str">
            <v>9 год</v>
          </cell>
          <cell r="P850" t="str">
            <v>10 год</v>
          </cell>
          <cell r="Q850" t="str">
            <v>11 год</v>
          </cell>
          <cell r="R850" t="str">
            <v>12 год</v>
          </cell>
          <cell r="S850" t="str">
            <v>13 год</v>
          </cell>
          <cell r="T850" t="str">
            <v>14 год</v>
          </cell>
          <cell r="U850" t="str">
            <v>15 год</v>
          </cell>
          <cell r="V850" t="str">
            <v>16 год</v>
          </cell>
          <cell r="W850" t="str">
            <v>17 год</v>
          </cell>
          <cell r="X850" t="str">
            <v>18 год</v>
          </cell>
          <cell r="Y850" t="str">
            <v>19 год</v>
          </cell>
          <cell r="Z850" t="str">
            <v>20 год</v>
          </cell>
          <cell r="AA850" t="str">
            <v>21 год</v>
          </cell>
          <cell r="AB850" t="str">
            <v>22 год</v>
          </cell>
          <cell r="AC850" t="str">
            <v>23 год</v>
          </cell>
          <cell r="AD850" t="str">
            <v>24 год</v>
          </cell>
          <cell r="AE850" t="str">
            <v>25 год</v>
          </cell>
          <cell r="AF850" t="str">
            <v>26 год</v>
          </cell>
          <cell r="AG850" t="str">
            <v>27 год</v>
          </cell>
          <cell r="AH850" t="str">
            <v>28 год</v>
          </cell>
          <cell r="AI850" t="str">
            <v>29 год</v>
          </cell>
          <cell r="AJ850" t="str">
            <v>30 год</v>
          </cell>
          <cell r="AL850" t="str">
            <v>ВСЕГО</v>
          </cell>
        </row>
        <row r="852">
          <cell r="A852" t="str">
            <v>1. ПРИТОК ДЕНЕЖНЫХ СРЕДСТВ</v>
          </cell>
          <cell r="B852" t="str">
            <v>1. CASH INFLOWS</v>
          </cell>
        </row>
        <row r="853">
          <cell r="A853" t="str">
            <v> - выручка от реализации</v>
          </cell>
          <cell r="B853" t="str">
            <v> - sales revenues</v>
          </cell>
          <cell r="D853" t="str">
            <v>тыс.руб.</v>
          </cell>
          <cell r="F853">
            <v>0</v>
          </cell>
          <cell r="G853">
            <v>0</v>
          </cell>
          <cell r="H853">
            <v>168618.4120535637</v>
          </cell>
          <cell r="I853">
            <v>196221.2241071274</v>
          </cell>
          <cell r="J853">
            <v>230105.58350928724</v>
          </cell>
          <cell r="K853">
            <v>263989.9429114471</v>
          </cell>
          <cell r="L853">
            <v>297874.3023136069</v>
          </cell>
          <cell r="M853">
            <v>324602.5439709719</v>
          </cell>
          <cell r="N853">
            <v>351330.78562833695</v>
          </cell>
          <cell r="O853">
            <v>378059.02728570194</v>
          </cell>
          <cell r="P853">
            <v>404787.26894306706</v>
          </cell>
          <cell r="Q853">
            <v>431515.51060043194</v>
          </cell>
          <cell r="R853">
            <v>461169.8296141684</v>
          </cell>
          <cell r="S853">
            <v>490824.14862790494</v>
          </cell>
          <cell r="T853">
            <v>520478.4676416415</v>
          </cell>
          <cell r="U853">
            <v>550132.786655378</v>
          </cell>
          <cell r="V853">
            <v>550132.786655378</v>
          </cell>
          <cell r="W853">
            <v>550132.786655378</v>
          </cell>
          <cell r="X853">
            <v>550132.786655378</v>
          </cell>
          <cell r="Y853">
            <v>550132.786655378</v>
          </cell>
          <cell r="Z853">
            <v>550132.786655378</v>
          </cell>
          <cell r="AA853">
            <v>550132.786655378</v>
          </cell>
          <cell r="AB853">
            <v>550132.786655378</v>
          </cell>
          <cell r="AC853">
            <v>550132.786655378</v>
          </cell>
          <cell r="AD853">
            <v>550132.786655378</v>
          </cell>
          <cell r="AE853">
            <v>550132.786655378</v>
          </cell>
          <cell r="AF853">
            <v>550132.786655378</v>
          </cell>
          <cell r="AG853">
            <v>550132.786655378</v>
          </cell>
          <cell r="AH853">
            <v>550132.786655378</v>
          </cell>
          <cell r="AI853">
            <v>550132.786655378</v>
          </cell>
          <cell r="AJ853">
            <v>550132.786655378</v>
          </cell>
          <cell r="AL853">
            <v>13321701.633693298</v>
          </cell>
        </row>
        <row r="854">
          <cell r="A854" t="str">
            <v> - выручка от реализации постоянных активов</v>
          </cell>
          <cell r="B854" t="str">
            <v> - gain on disposal of fixed assets</v>
          </cell>
          <cell r="D854" t="str">
            <v>тыс.руб.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L854">
            <v>0</v>
          </cell>
        </row>
        <row r="855">
          <cell r="A855" t="str">
            <v> - доходы от прочей реализации и внереализационные доходы</v>
          </cell>
          <cell r="B855" t="str">
            <v> - other (non-operation) &amp; miscellaneous profit</v>
          </cell>
          <cell r="D855" t="str">
            <v>тыс.руб.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L855">
            <v>0</v>
          </cell>
        </row>
        <row r="856">
          <cell r="A856" t="str">
            <v> - прирост нормируемых краткосрочных пассивов</v>
          </cell>
          <cell r="B856" t="str">
            <v> - increase in current liabilities</v>
          </cell>
          <cell r="D856" t="str">
            <v>тыс.руб.</v>
          </cell>
          <cell r="F856">
            <v>0</v>
          </cell>
          <cell r="G856">
            <v>0</v>
          </cell>
          <cell r="H856">
            <v>2054.454306715942</v>
          </cell>
          <cell r="I856">
            <v>285.2699276940989</v>
          </cell>
          <cell r="J856">
            <v>457.23262220358447</v>
          </cell>
          <cell r="K856">
            <v>468.3576982906811</v>
          </cell>
          <cell r="L856">
            <v>467.82669829068163</v>
          </cell>
          <cell r="M856">
            <v>417.3994521892673</v>
          </cell>
          <cell r="N856">
            <v>416.1115547570407</v>
          </cell>
          <cell r="O856">
            <v>415.4411279630385</v>
          </cell>
          <cell r="P856">
            <v>414.75058836522203</v>
          </cell>
          <cell r="Q856">
            <v>414.0393325794603</v>
          </cell>
          <cell r="R856">
            <v>440.33495013330776</v>
          </cell>
          <cell r="S856">
            <v>439.83908621486717</v>
          </cell>
          <cell r="T856">
            <v>439.06187781386416</v>
          </cell>
          <cell r="U856">
            <v>438.2613531608322</v>
          </cell>
          <cell r="V856">
            <v>-34.11188405397206</v>
          </cell>
          <cell r="W856">
            <v>-37.49606972106176</v>
          </cell>
          <cell r="X856">
            <v>-38.37082462359376</v>
          </cell>
          <cell r="Y856">
            <v>-39.271822173198416</v>
          </cell>
          <cell r="Z856">
            <v>-40.19984964929699</v>
          </cell>
          <cell r="AA856">
            <v>-41.15571794967309</v>
          </cell>
          <cell r="AB856">
            <v>-42.14026229906449</v>
          </cell>
          <cell r="AC856">
            <v>-43.154342978938985</v>
          </cell>
          <cell r="AD856">
            <v>-44.19884607920358</v>
          </cell>
          <cell r="AE856">
            <v>-45.27468427248277</v>
          </cell>
          <cell r="AF856">
            <v>-46.38279761155627</v>
          </cell>
          <cell r="AG856">
            <v>-47.524154350802746</v>
          </cell>
          <cell r="AH856">
            <v>-48.69975179222547</v>
          </cell>
          <cell r="AI856">
            <v>82.23339142310488</v>
          </cell>
          <cell r="AJ856">
            <v>-39.37490841749877</v>
          </cell>
          <cell r="AL856">
            <v>7063.258051822424</v>
          </cell>
        </row>
        <row r="857">
          <cell r="A857" t="str">
            <v> - увеличение уставного капитала</v>
          </cell>
          <cell r="B857" t="str">
            <v> - increase in statutory equity</v>
          </cell>
          <cell r="D857" t="str">
            <v>тыс.руб.</v>
          </cell>
          <cell r="F857">
            <v>539186.756392189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L857">
            <v>539186.756392189</v>
          </cell>
        </row>
        <row r="858">
          <cell r="A858" t="str">
            <v> - целевые финансирование и поступления</v>
          </cell>
          <cell r="B858" t="str">
            <v> - target financing (financing from a public finance)</v>
          </cell>
          <cell r="D858" t="str">
            <v>тыс.руб.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L858">
            <v>0</v>
          </cell>
        </row>
        <row r="859">
          <cell r="A859" t="str">
            <v> - привлечение кредитов</v>
          </cell>
          <cell r="B859" t="str">
            <v> - loans obtained</v>
          </cell>
          <cell r="D859" t="str">
            <v>тыс.руб.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L859">
            <v>0</v>
          </cell>
        </row>
        <row r="860">
          <cell r="A860" t="str">
            <v> = Итого приток</v>
          </cell>
          <cell r="B860" t="str">
            <v> = Total inflow</v>
          </cell>
          <cell r="D860" t="str">
            <v>тыс.руб.</v>
          </cell>
          <cell r="F860">
            <v>539186.756392189</v>
          </cell>
          <cell r="G860">
            <v>0</v>
          </cell>
          <cell r="H860">
            <v>170672.86636027964</v>
          </cell>
          <cell r="I860">
            <v>196506.49403482152</v>
          </cell>
          <cell r="J860">
            <v>230562.81613149084</v>
          </cell>
          <cell r="K860">
            <v>264458.30060973775</v>
          </cell>
          <cell r="L860">
            <v>298342.1290118976</v>
          </cell>
          <cell r="M860">
            <v>325019.94342316117</v>
          </cell>
          <cell r="N860">
            <v>351746.897183094</v>
          </cell>
          <cell r="O860">
            <v>378474.46841366496</v>
          </cell>
          <cell r="P860">
            <v>405202.0195314323</v>
          </cell>
          <cell r="Q860">
            <v>431929.5499330114</v>
          </cell>
          <cell r="R860">
            <v>461610.16456430167</v>
          </cell>
          <cell r="S860">
            <v>491263.98771411984</v>
          </cell>
          <cell r="T860">
            <v>520917.5295194554</v>
          </cell>
          <cell r="U860">
            <v>550571.0480085388</v>
          </cell>
          <cell r="V860">
            <v>550098.6747713239</v>
          </cell>
          <cell r="W860">
            <v>550095.2905856569</v>
          </cell>
          <cell r="X860">
            <v>550094.4158307543</v>
          </cell>
          <cell r="Y860">
            <v>550093.5148332048</v>
          </cell>
          <cell r="Z860">
            <v>550092.5868057286</v>
          </cell>
          <cell r="AA860">
            <v>550091.6309374283</v>
          </cell>
          <cell r="AB860">
            <v>550090.6463930788</v>
          </cell>
          <cell r="AC860">
            <v>550089.632312399</v>
          </cell>
          <cell r="AD860">
            <v>550088.5878092988</v>
          </cell>
          <cell r="AE860">
            <v>550087.5119711055</v>
          </cell>
          <cell r="AF860">
            <v>550086.4038577664</v>
          </cell>
          <cell r="AG860">
            <v>550085.2625010271</v>
          </cell>
          <cell r="AH860">
            <v>550084.0869035857</v>
          </cell>
          <cell r="AI860">
            <v>550215.0200468011</v>
          </cell>
          <cell r="AJ860">
            <v>550093.4117469605</v>
          </cell>
          <cell r="AL860">
            <v>13867951.648137312</v>
          </cell>
        </row>
        <row r="862">
          <cell r="A862" t="str">
            <v>2. ОТТОК ДЕНЕЖНЫХ СРЕДСТВ</v>
          </cell>
          <cell r="B862" t="str">
            <v>2. CASH OUTFLOWS</v>
          </cell>
        </row>
        <row r="863">
          <cell r="A863" t="str">
            <v> - эксплуатационные расходы</v>
          </cell>
          <cell r="B863" t="str">
            <v> - operating costs</v>
          </cell>
          <cell r="D863" t="str">
            <v>тыс.руб.</v>
          </cell>
          <cell r="F863">
            <v>0</v>
          </cell>
          <cell r="G863">
            <v>0</v>
          </cell>
          <cell r="H863">
            <v>-104586.82019999999</v>
          </cell>
          <cell r="I863">
            <v>-123126.44256</v>
          </cell>
          <cell r="J863">
            <v>-141866.83164</v>
          </cell>
          <cell r="K863">
            <v>-160253.22072</v>
          </cell>
          <cell r="L863">
            <v>-178657.3098</v>
          </cell>
          <cell r="M863">
            <v>-191523.212064</v>
          </cell>
          <cell r="N863">
            <v>-204410.81098799998</v>
          </cell>
          <cell r="O863">
            <v>-217320.75747179997</v>
          </cell>
          <cell r="P863">
            <v>-230253.72194219395</v>
          </cell>
          <cell r="Q863">
            <v>-243210.3949387798</v>
          </cell>
          <cell r="R863">
            <v>-258242.31706934317</v>
          </cell>
          <cell r="S863">
            <v>-273299.3915753435</v>
          </cell>
          <cell r="T863">
            <v>-288382.37302804383</v>
          </cell>
          <cell r="U863">
            <v>-303492.0386358452</v>
          </cell>
          <cell r="V863">
            <v>-304435.6793074005</v>
          </cell>
          <cell r="W863">
            <v>-305407.6291991025</v>
          </cell>
          <cell r="X863">
            <v>-306408.7375875556</v>
          </cell>
          <cell r="Y863">
            <v>-307439.8792276623</v>
          </cell>
          <cell r="Z863">
            <v>-308501.95511697215</v>
          </cell>
          <cell r="AA863">
            <v>-309595.8932829613</v>
          </cell>
          <cell r="AB863">
            <v>-310722.6495939301</v>
          </cell>
          <cell r="AC863">
            <v>-311883.208594228</v>
          </cell>
          <cell r="AD863">
            <v>-313078.5843645349</v>
          </cell>
          <cell r="AE863">
            <v>-314309.82140795095</v>
          </cell>
          <cell r="AF863">
            <v>-315577.9955626695</v>
          </cell>
          <cell r="AG863">
            <v>-316884.21494202956</v>
          </cell>
          <cell r="AH863">
            <v>-318229.62090277043</v>
          </cell>
          <cell r="AI863">
            <v>-319615.3890423335</v>
          </cell>
          <cell r="AJ863">
            <v>-321042.73022608354</v>
          </cell>
          <cell r="AL863">
            <v>-7601759.630991534</v>
          </cell>
        </row>
        <row r="864">
          <cell r="A864" t="str">
            <v> - лизинговые платежи (начисленные)</v>
          </cell>
          <cell r="B864" t="str">
            <v> - leasing payments (charged)</v>
          </cell>
          <cell r="D864" t="str">
            <v>тыс.руб.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L864">
            <v>0</v>
          </cell>
        </row>
        <row r="865">
          <cell r="A865" t="str">
            <v> - коммерческие расходы</v>
          </cell>
          <cell r="B865" t="str">
            <v> - marketing costs</v>
          </cell>
          <cell r="D865" t="str">
            <v>тыс.руб.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0</v>
          </cell>
          <cell r="AL865">
            <v>0</v>
          </cell>
        </row>
        <row r="866">
          <cell r="A866" t="str">
            <v> - налоговые выплаты</v>
          </cell>
          <cell r="B866" t="str">
            <v> - tax payments</v>
          </cell>
          <cell r="D866" t="str">
            <v>тыс.руб.</v>
          </cell>
          <cell r="F866">
            <v>0</v>
          </cell>
          <cell r="G866">
            <v>0</v>
          </cell>
          <cell r="H866">
            <v>-18121.818574263172</v>
          </cell>
          <cell r="I866">
            <v>-20680.0061163516</v>
          </cell>
          <cell r="J866">
            <v>-24676.710688001876</v>
          </cell>
          <cell r="K866">
            <v>-28762.415868348922</v>
          </cell>
          <cell r="L866">
            <v>-32843.873048695976</v>
          </cell>
          <cell r="M866">
            <v>-36450.35108278377</v>
          </cell>
          <cell r="N866">
            <v>-40046.52593741374</v>
          </cell>
          <cell r="O866">
            <v>-43637.3373776917</v>
          </cell>
          <cell r="P866">
            <v>-47222.62450118713</v>
          </cell>
          <cell r="Q866">
            <v>-50802.22157839645</v>
          </cell>
          <cell r="R866">
            <v>-54621.444369600285</v>
          </cell>
          <cell r="S866">
            <v>-58436.700249456575</v>
          </cell>
          <cell r="T866">
            <v>-62245.73846210486</v>
          </cell>
          <cell r="U866">
            <v>-66048.37247752889</v>
          </cell>
          <cell r="V866">
            <v>-65775.4774050971</v>
          </cell>
          <cell r="W866">
            <v>-65475.508847328616</v>
          </cell>
          <cell r="X866">
            <v>-65168.54225033987</v>
          </cell>
          <cell r="Y866">
            <v>-64854.36767295428</v>
          </cell>
          <cell r="Z866">
            <v>-64532.76887575991</v>
          </cell>
          <cell r="AA866">
            <v>-64203.52313216252</v>
          </cell>
          <cell r="AB866">
            <v>-63866.40103377</v>
          </cell>
          <cell r="AC866">
            <v>-63521.1662899385</v>
          </cell>
          <cell r="AD866">
            <v>-63167.575521304854</v>
          </cell>
          <cell r="AE866">
            <v>-62805.378047125</v>
          </cell>
          <cell r="AF866">
            <v>-62434.31566623255</v>
          </cell>
          <cell r="AG866">
            <v>-62054.122431426134</v>
          </cell>
          <cell r="AH866">
            <v>-61664.52441708832</v>
          </cell>
          <cell r="AI866">
            <v>-62322.391548473155</v>
          </cell>
          <cell r="AJ866">
            <v>-62007.39228113317</v>
          </cell>
          <cell r="AL866">
            <v>-1538449.5957519587</v>
          </cell>
        </row>
        <row r="867">
          <cell r="A867" t="str">
            <v> - убытки от прочей реализации и внереализационные расходы</v>
          </cell>
          <cell r="B867" t="str">
            <v> - other (non-operation) &amp; miscellaneous loss</v>
          </cell>
          <cell r="D867" t="str">
            <v>тыс.руб.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L867">
            <v>0</v>
          </cell>
        </row>
        <row r="868">
          <cell r="A868" t="str">
            <v> - дивиденды выплаченные</v>
          </cell>
          <cell r="B868" t="str">
            <v> - dividends payable</v>
          </cell>
          <cell r="D868" t="str">
            <v>тыс.руб.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L868">
            <v>0</v>
          </cell>
        </row>
        <row r="869">
          <cell r="A869" t="str">
            <v> - прочие расходы из чистой прибыли</v>
          </cell>
          <cell r="B869" t="str">
            <v> - other payments from a net profit</v>
          </cell>
          <cell r="D869" t="str">
            <v>тыс.руб.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L869">
            <v>0</v>
          </cell>
        </row>
        <row r="870">
          <cell r="A870" t="str">
            <v> - прирост постоянных активов</v>
          </cell>
          <cell r="B870" t="str">
            <v> - increase in fixed assets</v>
          </cell>
          <cell r="D870" t="str">
            <v>тыс.руб.</v>
          </cell>
          <cell r="F870">
            <v>0</v>
          </cell>
          <cell r="G870">
            <v>-118599.9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L870">
            <v>-118599.9</v>
          </cell>
        </row>
        <row r="871">
          <cell r="A871" t="str">
            <v> - прирост нормирумых оборотных активов</v>
          </cell>
          <cell r="B871" t="str">
            <v> - increase in current assets</v>
          </cell>
          <cell r="D871" t="str">
            <v>тыс.руб.</v>
          </cell>
          <cell r="F871">
            <v>0</v>
          </cell>
          <cell r="G871">
            <v>-22744.4025255</v>
          </cell>
          <cell r="H871">
            <v>-22344.26484669697</v>
          </cell>
          <cell r="I871">
            <v>-10723.884560296974</v>
          </cell>
          <cell r="J871">
            <v>-12101.895921746654</v>
          </cell>
          <cell r="K871">
            <v>-12896.206004146661</v>
          </cell>
          <cell r="L871">
            <v>-13642.719386506651</v>
          </cell>
          <cell r="M871">
            <v>-13045.044589027093</v>
          </cell>
          <cell r="N871">
            <v>-13069.141010647087</v>
          </cell>
          <cell r="O871">
            <v>-13097.323998178064</v>
          </cell>
          <cell r="P871">
            <v>-13129.716148597421</v>
          </cell>
          <cell r="Q871">
            <v>-13200.054551171721</v>
          </cell>
          <cell r="R871">
            <v>-13752.021183331846</v>
          </cell>
          <cell r="S871">
            <v>-14064.747501729871</v>
          </cell>
          <cell r="T871">
            <v>-14382.211270041473</v>
          </cell>
          <cell r="U871">
            <v>-14471.93875972397</v>
          </cell>
          <cell r="V871">
            <v>-12173.30348963497</v>
          </cell>
          <cell r="W871">
            <v>-12351.038210122439</v>
          </cell>
          <cell r="X871">
            <v>-12534.104972224566</v>
          </cell>
          <cell r="Y871">
            <v>-12722.663737189636</v>
          </cell>
          <cell r="Z871">
            <v>-12916.879265103838</v>
          </cell>
          <cell r="AA871">
            <v>-13116.921258855262</v>
          </cell>
          <cell r="AB871">
            <v>-13322.964512419363</v>
          </cell>
          <cell r="AC871">
            <v>-13535.18906359037</v>
          </cell>
          <cell r="AD871">
            <v>-13753.780351296416</v>
          </cell>
          <cell r="AE871">
            <v>-13978.929377633729</v>
          </cell>
          <cell r="AF871">
            <v>-14210.832874761196</v>
          </cell>
          <cell r="AG871">
            <v>-14449.693476802378</v>
          </cell>
          <cell r="AH871">
            <v>-14695.719896904891</v>
          </cell>
          <cell r="AI871">
            <v>-14949.12710961036</v>
          </cell>
          <cell r="AJ871">
            <v>-15210.136538697057</v>
          </cell>
          <cell r="AL871">
            <v>-420586.8563921889</v>
          </cell>
        </row>
        <row r="872">
          <cell r="A872" t="str">
            <v> - общая сумма выплат по кредитам</v>
          </cell>
          <cell r="B872" t="str">
            <v> - total debt service payments</v>
          </cell>
          <cell r="D872" t="str">
            <v>тыс.руб.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L872">
            <v>0</v>
          </cell>
        </row>
        <row r="873">
          <cell r="A873" t="str">
            <v> = Итого отток</v>
          </cell>
          <cell r="B873" t="str">
            <v> = Total outflow</v>
          </cell>
          <cell r="D873" t="str">
            <v>тыс.руб.</v>
          </cell>
          <cell r="F873">
            <v>0</v>
          </cell>
          <cell r="G873">
            <v>-141344.3025255</v>
          </cell>
          <cell r="H873">
            <v>-145052.90362096013</v>
          </cell>
          <cell r="I873">
            <v>-154530.33323664858</v>
          </cell>
          <cell r="J873">
            <v>-178645.43824974852</v>
          </cell>
          <cell r="K873">
            <v>-201911.8425924956</v>
          </cell>
          <cell r="L873">
            <v>-225143.9022352026</v>
          </cell>
          <cell r="M873">
            <v>-241018.60773581086</v>
          </cell>
          <cell r="N873">
            <v>-257526.4779360608</v>
          </cell>
          <cell r="O873">
            <v>-274055.41884766973</v>
          </cell>
          <cell r="P873">
            <v>-290606.0625919785</v>
          </cell>
          <cell r="Q873">
            <v>-307212.671068348</v>
          </cell>
          <cell r="R873">
            <v>-326615.7826222753</v>
          </cell>
          <cell r="S873">
            <v>-345800.83932652994</v>
          </cell>
          <cell r="T873">
            <v>-365010.3227601902</v>
          </cell>
          <cell r="U873">
            <v>-384012.349873098</v>
          </cell>
          <cell r="V873">
            <v>-382384.4602021326</v>
          </cell>
          <cell r="W873">
            <v>-383234.17625655356</v>
          </cell>
          <cell r="X873">
            <v>-384111.38481012004</v>
          </cell>
          <cell r="Y873">
            <v>-385016.91063780617</v>
          </cell>
          <cell r="Z873">
            <v>-385951.6032578359</v>
          </cell>
          <cell r="AA873">
            <v>-386916.33767397905</v>
          </cell>
          <cell r="AB873">
            <v>-387912.0151401195</v>
          </cell>
          <cell r="AC873">
            <v>-388939.5639477569</v>
          </cell>
          <cell r="AD873">
            <v>-389999.94023713615</v>
          </cell>
          <cell r="AE873">
            <v>-391094.1288327097</v>
          </cell>
          <cell r="AF873">
            <v>-392223.1441036632</v>
          </cell>
          <cell r="AG873">
            <v>-393388.0308502581</v>
          </cell>
          <cell r="AH873">
            <v>-394589.86521676363</v>
          </cell>
          <cell r="AI873">
            <v>-396886.90770041704</v>
          </cell>
          <cell r="AJ873">
            <v>-398260.25904591376</v>
          </cell>
          <cell r="AL873">
            <v>-9679395.983135682</v>
          </cell>
        </row>
        <row r="875">
          <cell r="A875" t="str">
            <v> = Баланс денежных средств</v>
          </cell>
          <cell r="B875" t="str">
            <v> = Cash balance</v>
          </cell>
          <cell r="D875" t="str">
            <v>тыс.руб.</v>
          </cell>
          <cell r="F875">
            <v>539186.756392189</v>
          </cell>
          <cell r="G875">
            <v>-141344.3025255</v>
          </cell>
          <cell r="H875">
            <v>25619.96273931951</v>
          </cell>
          <cell r="I875">
            <v>41976.16079817293</v>
          </cell>
          <cell r="J875">
            <v>51917.377881742315</v>
          </cell>
          <cell r="K875">
            <v>62546.45801724214</v>
          </cell>
          <cell r="L875">
            <v>73198.226776695</v>
          </cell>
          <cell r="M875">
            <v>84001.3356873503</v>
          </cell>
          <cell r="N875">
            <v>94220.41924703319</v>
          </cell>
          <cell r="O875">
            <v>104419.04956599523</v>
          </cell>
          <cell r="P875">
            <v>114595.95693945378</v>
          </cell>
          <cell r="Q875">
            <v>124716.87886466342</v>
          </cell>
          <cell r="R875">
            <v>134994.38194202638</v>
          </cell>
          <cell r="S875">
            <v>145463.1483875899</v>
          </cell>
          <cell r="T875">
            <v>155907.20675926522</v>
          </cell>
          <cell r="U875">
            <v>166558.69813544076</v>
          </cell>
          <cell r="V875">
            <v>167714.21456919133</v>
          </cell>
          <cell r="W875">
            <v>166861.11432910332</v>
          </cell>
          <cell r="X875">
            <v>165983.03102063428</v>
          </cell>
          <cell r="Y875">
            <v>165076.60419539863</v>
          </cell>
          <cell r="Z875">
            <v>164140.9835478927</v>
          </cell>
          <cell r="AA875">
            <v>163175.29326344928</v>
          </cell>
          <cell r="AB875">
            <v>162178.63125295937</v>
          </cell>
          <cell r="AC875">
            <v>161150.0683646421</v>
          </cell>
          <cell r="AD875">
            <v>160088.64757216262</v>
          </cell>
          <cell r="AE875">
            <v>158993.3831383958</v>
          </cell>
          <cell r="AF875">
            <v>157863.2597541032</v>
          </cell>
          <cell r="AG875">
            <v>156697.231650769</v>
          </cell>
          <cell r="AH875">
            <v>155494.22168682207</v>
          </cell>
          <cell r="AI875">
            <v>153328.11234638403</v>
          </cell>
          <cell r="AJ875">
            <v>151833.15270104673</v>
          </cell>
          <cell r="AL875">
            <v>4188555.665001634</v>
          </cell>
        </row>
        <row r="876">
          <cell r="A876" t="str">
            <v> = Свободные денежные средства</v>
          </cell>
          <cell r="B876" t="str">
            <v> = Accumulated cash balance (free cash)</v>
          </cell>
          <cell r="D876" t="str">
            <v>тыс.руб.</v>
          </cell>
          <cell r="E876" t="str">
            <v>on_end</v>
          </cell>
          <cell r="F876">
            <v>539186.756392189</v>
          </cell>
          <cell r="G876">
            <v>397842.45386668894</v>
          </cell>
          <cell r="H876">
            <v>423462.4166060084</v>
          </cell>
          <cell r="I876">
            <v>465438.57740418136</v>
          </cell>
          <cell r="J876">
            <v>517355.9552859237</v>
          </cell>
          <cell r="K876">
            <v>579902.4133031658</v>
          </cell>
          <cell r="L876">
            <v>653100.6400798608</v>
          </cell>
          <cell r="M876">
            <v>737101.975767211</v>
          </cell>
          <cell r="N876">
            <v>831322.3950142442</v>
          </cell>
          <cell r="O876">
            <v>935741.4445802395</v>
          </cell>
          <cell r="P876">
            <v>1050337.4015196932</v>
          </cell>
          <cell r="Q876">
            <v>1175054.2803843566</v>
          </cell>
          <cell r="R876">
            <v>1310048.662326383</v>
          </cell>
          <cell r="S876">
            <v>1455511.810713973</v>
          </cell>
          <cell r="T876">
            <v>1611419.017473238</v>
          </cell>
          <cell r="U876">
            <v>1777977.7156086788</v>
          </cell>
          <cell r="V876">
            <v>1945691.9301778702</v>
          </cell>
          <cell r="W876">
            <v>2112553.0445069736</v>
          </cell>
          <cell r="X876">
            <v>2278536.075527608</v>
          </cell>
          <cell r="Y876">
            <v>2443612.6797230067</v>
          </cell>
          <cell r="Z876">
            <v>2607753.6632708996</v>
          </cell>
          <cell r="AA876">
            <v>2770928.956534349</v>
          </cell>
          <cell r="AB876">
            <v>2933107.5877873083</v>
          </cell>
          <cell r="AC876">
            <v>3094257.6561519504</v>
          </cell>
          <cell r="AD876">
            <v>3254346.303724113</v>
          </cell>
          <cell r="AE876">
            <v>3413339.6868625088</v>
          </cell>
          <cell r="AF876">
            <v>3571202.946616612</v>
          </cell>
          <cell r="AG876">
            <v>3727900.178267381</v>
          </cell>
          <cell r="AH876">
            <v>3883394.399954203</v>
          </cell>
          <cell r="AI876">
            <v>4036722.5123005873</v>
          </cell>
          <cell r="AJ876">
            <v>4188555.665001634</v>
          </cell>
          <cell r="AL876">
            <v>4188555.665001634</v>
          </cell>
        </row>
        <row r="880">
          <cell r="A880" t="str">
            <v>Цт=максимальные Постоянные цены</v>
          </cell>
          <cell r="B880" t="str">
            <v>Цт=максимальные Постоянные цены</v>
          </cell>
          <cell r="AK880" t="str">
            <v>АЛЬТ-Инвест™ 3.0</v>
          </cell>
        </row>
        <row r="881">
          <cell r="A881" t="str">
            <v>БАЛАНСОВЫЙ ОТЧЕТ</v>
          </cell>
          <cell r="B881" t="str">
            <v>BALANCE SHEET</v>
          </cell>
          <cell r="F881" t="str">
            <v>"0"</v>
          </cell>
          <cell r="G881" t="str">
            <v>1 год</v>
          </cell>
          <cell r="H881" t="str">
            <v>2 год</v>
          </cell>
          <cell r="I881" t="str">
            <v>3 год</v>
          </cell>
          <cell r="J881" t="str">
            <v>4 год</v>
          </cell>
          <cell r="K881" t="str">
            <v>5 год</v>
          </cell>
          <cell r="L881" t="str">
            <v>6 год</v>
          </cell>
          <cell r="M881" t="str">
            <v>7 год</v>
          </cell>
          <cell r="N881" t="str">
            <v>8 год</v>
          </cell>
          <cell r="O881" t="str">
            <v>9 год</v>
          </cell>
          <cell r="P881" t="str">
            <v>10 год</v>
          </cell>
          <cell r="Q881" t="str">
            <v>11 год</v>
          </cell>
          <cell r="R881" t="str">
            <v>12 год</v>
          </cell>
          <cell r="S881" t="str">
            <v>13 год</v>
          </cell>
          <cell r="T881" t="str">
            <v>14 год</v>
          </cell>
          <cell r="U881" t="str">
            <v>15 год</v>
          </cell>
          <cell r="V881" t="str">
            <v>16 год</v>
          </cell>
          <cell r="W881" t="str">
            <v>17 год</v>
          </cell>
          <cell r="X881" t="str">
            <v>18 год</v>
          </cell>
          <cell r="Y881" t="str">
            <v>19 год</v>
          </cell>
          <cell r="Z881" t="str">
            <v>20 год</v>
          </cell>
          <cell r="AA881" t="str">
            <v>21 год</v>
          </cell>
          <cell r="AB881" t="str">
            <v>22 год</v>
          </cell>
          <cell r="AC881" t="str">
            <v>23 год</v>
          </cell>
          <cell r="AD881" t="str">
            <v>24 год</v>
          </cell>
          <cell r="AE881" t="str">
            <v>25 год</v>
          </cell>
          <cell r="AF881" t="str">
            <v>26 год</v>
          </cell>
          <cell r="AG881" t="str">
            <v>27 год</v>
          </cell>
          <cell r="AH881" t="str">
            <v>28 год</v>
          </cell>
          <cell r="AI881" t="str">
            <v>29 год</v>
          </cell>
          <cell r="AJ881" t="str">
            <v>30 год</v>
          </cell>
        </row>
        <row r="883">
          <cell r="A883" t="str">
            <v>1. АКТИВЫ</v>
          </cell>
          <cell r="B883" t="str">
            <v>1. ASSETS</v>
          </cell>
        </row>
        <row r="884">
          <cell r="A884" t="str">
            <v>Постоянные активы</v>
          </cell>
          <cell r="B884" t="str">
            <v>Fixed assets</v>
          </cell>
        </row>
        <row r="885">
          <cell r="A885" t="str">
            <v> - балансовая стоимость</v>
          </cell>
          <cell r="B885" t="str">
            <v> - gross book value</v>
          </cell>
          <cell r="D885" t="str">
            <v>тыс.руб.</v>
          </cell>
          <cell r="E885" t="str">
            <v>on_end</v>
          </cell>
          <cell r="F885">
            <v>0</v>
          </cell>
          <cell r="G885">
            <v>118599.9</v>
          </cell>
          <cell r="H885">
            <v>118599.9</v>
          </cell>
          <cell r="I885">
            <v>118599.9</v>
          </cell>
          <cell r="J885">
            <v>118599.9</v>
          </cell>
          <cell r="K885">
            <v>118599.9</v>
          </cell>
          <cell r="L885">
            <v>118599.9</v>
          </cell>
          <cell r="M885">
            <v>118599.9</v>
          </cell>
          <cell r="N885">
            <v>118599.9</v>
          </cell>
          <cell r="O885">
            <v>118599.9</v>
          </cell>
          <cell r="P885">
            <v>118599.9</v>
          </cell>
          <cell r="Q885">
            <v>118599.9</v>
          </cell>
          <cell r="R885">
            <v>118599.9</v>
          </cell>
          <cell r="S885">
            <v>118599.9</v>
          </cell>
          <cell r="T885">
            <v>118599.9</v>
          </cell>
          <cell r="U885">
            <v>118599.9</v>
          </cell>
          <cell r="V885">
            <v>118599.9</v>
          </cell>
          <cell r="W885">
            <v>118599.9</v>
          </cell>
          <cell r="X885">
            <v>118599.9</v>
          </cell>
          <cell r="Y885">
            <v>118599.9</v>
          </cell>
          <cell r="Z885">
            <v>118599.9</v>
          </cell>
          <cell r="AA885">
            <v>118599.9</v>
          </cell>
          <cell r="AB885">
            <v>118599.9</v>
          </cell>
          <cell r="AC885">
            <v>118599.9</v>
          </cell>
          <cell r="AD885">
            <v>118599.9</v>
          </cell>
          <cell r="AE885">
            <v>118599.9</v>
          </cell>
          <cell r="AF885">
            <v>118599.9</v>
          </cell>
          <cell r="AG885">
            <v>118599.9</v>
          </cell>
          <cell r="AH885">
            <v>118599.9</v>
          </cell>
          <cell r="AI885">
            <v>118599.9</v>
          </cell>
          <cell r="AJ885">
            <v>0</v>
          </cell>
        </row>
        <row r="886">
          <cell r="A886" t="str">
            <v> - начисленный износ</v>
          </cell>
          <cell r="B886" t="str">
            <v> - accumulated depreciation</v>
          </cell>
          <cell r="D886" t="str">
            <v>тыс.руб.</v>
          </cell>
          <cell r="E886" t="str">
            <v>on_end</v>
          </cell>
          <cell r="F886">
            <v>0</v>
          </cell>
          <cell r="G886">
            <v>0</v>
          </cell>
          <cell r="H886">
            <v>4388.196299999996</v>
          </cell>
          <cell r="I886">
            <v>8776.392599999992</v>
          </cell>
          <cell r="J886">
            <v>13164.588900000002</v>
          </cell>
          <cell r="K886">
            <v>17552.7852</v>
          </cell>
          <cell r="L886">
            <v>21940.981499999994</v>
          </cell>
          <cell r="M886">
            <v>26329.177800000005</v>
          </cell>
          <cell r="N886">
            <v>30717.3741</v>
          </cell>
          <cell r="O886">
            <v>35105.5704</v>
          </cell>
          <cell r="P886">
            <v>39493.76669999999</v>
          </cell>
          <cell r="Q886">
            <v>43881.96299999999</v>
          </cell>
          <cell r="R886">
            <v>48270.159299999985</v>
          </cell>
          <cell r="S886">
            <v>52658.35559999998</v>
          </cell>
          <cell r="T886">
            <v>57046.55189999998</v>
          </cell>
          <cell r="U886">
            <v>61434.74819999997</v>
          </cell>
          <cell r="V886">
            <v>65822.94449999997</v>
          </cell>
          <cell r="W886">
            <v>70211.14079999996</v>
          </cell>
          <cell r="X886">
            <v>74599.33709999996</v>
          </cell>
          <cell r="Y886">
            <v>78987.53339999996</v>
          </cell>
          <cell r="Z886">
            <v>83375.72969999995</v>
          </cell>
          <cell r="AA886">
            <v>87763.92599999995</v>
          </cell>
          <cell r="AB886">
            <v>92152.12229999994</v>
          </cell>
          <cell r="AC886">
            <v>96540.31859999994</v>
          </cell>
          <cell r="AD886">
            <v>100928.51489999994</v>
          </cell>
          <cell r="AE886">
            <v>105316.71119999993</v>
          </cell>
          <cell r="AF886">
            <v>109704.90749999993</v>
          </cell>
          <cell r="AG886">
            <v>114093.10379999992</v>
          </cell>
          <cell r="AH886">
            <v>118481.30009999992</v>
          </cell>
          <cell r="AI886">
            <v>118599.9</v>
          </cell>
          <cell r="AJ886">
            <v>0</v>
          </cell>
        </row>
        <row r="887">
          <cell r="A887" t="str">
            <v> - остаточная стоимость</v>
          </cell>
          <cell r="B887" t="str">
            <v> - book value net of depreciation.</v>
          </cell>
          <cell r="D887" t="str">
            <v>тыс.руб.</v>
          </cell>
          <cell r="E887" t="str">
            <v>on_end</v>
          </cell>
          <cell r="F887">
            <v>0</v>
          </cell>
          <cell r="G887">
            <v>118599.9</v>
          </cell>
          <cell r="H887">
            <v>114211.7037</v>
          </cell>
          <cell r="I887">
            <v>109823.5074</v>
          </cell>
          <cell r="J887">
            <v>105435.31109999999</v>
          </cell>
          <cell r="K887">
            <v>101047.1148</v>
          </cell>
          <cell r="L887">
            <v>96658.9185</v>
          </cell>
          <cell r="M887">
            <v>92270.72219999999</v>
          </cell>
          <cell r="N887">
            <v>87882.5259</v>
          </cell>
          <cell r="O887">
            <v>83494.3296</v>
          </cell>
          <cell r="P887">
            <v>79106.1333</v>
          </cell>
          <cell r="Q887">
            <v>74717.937</v>
          </cell>
          <cell r="R887">
            <v>70329.74070000001</v>
          </cell>
          <cell r="S887">
            <v>65941.54440000001</v>
          </cell>
          <cell r="T887">
            <v>61553.34810000002</v>
          </cell>
          <cell r="U887">
            <v>57165.15180000002</v>
          </cell>
          <cell r="V887">
            <v>52776.955500000025</v>
          </cell>
          <cell r="W887">
            <v>48388.75920000003</v>
          </cell>
          <cell r="X887">
            <v>44000.56290000003</v>
          </cell>
          <cell r="Y887">
            <v>39612.36660000004</v>
          </cell>
          <cell r="Z887">
            <v>35224.17030000004</v>
          </cell>
          <cell r="AA887">
            <v>30835.974000000046</v>
          </cell>
          <cell r="AB887">
            <v>26447.77770000005</v>
          </cell>
          <cell r="AC887">
            <v>22059.581400000054</v>
          </cell>
          <cell r="AD887">
            <v>17671.385100000058</v>
          </cell>
          <cell r="AE887">
            <v>13283.188800000062</v>
          </cell>
          <cell r="AF887">
            <v>8894.992500000066</v>
          </cell>
          <cell r="AG887">
            <v>4506.79620000007</v>
          </cell>
          <cell r="AH887">
            <v>118.59990000007383</v>
          </cell>
          <cell r="AI887">
            <v>0</v>
          </cell>
          <cell r="AJ887">
            <v>0</v>
          </cell>
        </row>
        <row r="888">
          <cell r="A888" t="str">
            <v>Незавершенные капитальные вложения</v>
          </cell>
          <cell r="B888" t="str">
            <v>Uncompleted investments</v>
          </cell>
          <cell r="D888" t="str">
            <v>тыс.руб.</v>
          </cell>
          <cell r="E888" t="str">
            <v>on_end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</row>
        <row r="890">
          <cell r="A890" t="str">
            <v>Оборотные активы</v>
          </cell>
          <cell r="B890" t="str">
            <v>Current assets</v>
          </cell>
        </row>
        <row r="891">
          <cell r="A891" t="str">
            <v> - запасы сырья и материалов</v>
          </cell>
          <cell r="B891" t="str">
            <v> - stocks (inventories) of raw materials</v>
          </cell>
          <cell r="D891" t="str">
            <v>тыс.руб.</v>
          </cell>
          <cell r="E891" t="str">
            <v>on_end</v>
          </cell>
          <cell r="F891">
            <v>0</v>
          </cell>
          <cell r="G891">
            <v>0</v>
          </cell>
          <cell r="H891">
            <v>1183.4072249999997</v>
          </cell>
          <cell r="I891">
            <v>1418.03948</v>
          </cell>
          <cell r="J891">
            <v>1660.868495</v>
          </cell>
          <cell r="K891">
            <v>1903.6975100000002</v>
          </cell>
          <cell r="L891">
            <v>2146.526525</v>
          </cell>
          <cell r="M891">
            <v>2315.174862</v>
          </cell>
          <cell r="N891">
            <v>2483.8231989999995</v>
          </cell>
          <cell r="O891">
            <v>2652.471535999999</v>
          </cell>
          <cell r="P891">
            <v>2821.119872999999</v>
          </cell>
          <cell r="Q891">
            <v>2989.7682099999997</v>
          </cell>
          <cell r="R891">
            <v>3186.9002879999994</v>
          </cell>
          <cell r="S891">
            <v>3384.0323659999995</v>
          </cell>
          <cell r="T891">
            <v>3581.1644439999995</v>
          </cell>
          <cell r="U891">
            <v>3778.296522</v>
          </cell>
          <cell r="V891">
            <v>3778.296522</v>
          </cell>
          <cell r="W891">
            <v>3778.296522</v>
          </cell>
          <cell r="X891">
            <v>3778.296522</v>
          </cell>
          <cell r="Y891">
            <v>3778.296522</v>
          </cell>
          <cell r="Z891">
            <v>3778.296522</v>
          </cell>
          <cell r="AA891">
            <v>3778.296522</v>
          </cell>
          <cell r="AB891">
            <v>3778.296522</v>
          </cell>
          <cell r="AC891">
            <v>3778.296522</v>
          </cell>
          <cell r="AD891">
            <v>3778.296522</v>
          </cell>
          <cell r="AE891">
            <v>3778.296522</v>
          </cell>
          <cell r="AF891">
            <v>3778.296522</v>
          </cell>
          <cell r="AG891">
            <v>3778.296522</v>
          </cell>
          <cell r="AH891">
            <v>3778.296522</v>
          </cell>
          <cell r="AI891">
            <v>3778.296522</v>
          </cell>
          <cell r="AJ891">
            <v>3778.296522</v>
          </cell>
        </row>
        <row r="892">
          <cell r="A892" t="str">
            <v> - незавершенная продукция</v>
          </cell>
          <cell r="B892" t="str">
            <v> - work-in-progress</v>
          </cell>
          <cell r="D892" t="str">
            <v>тыс.руб.</v>
          </cell>
          <cell r="E892" t="str">
            <v>on_end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</row>
        <row r="893">
          <cell r="A893" t="str">
            <v> - готовая продукция</v>
          </cell>
          <cell r="B893" t="str">
            <v> - finished goods</v>
          </cell>
          <cell r="D893" t="str">
            <v>тыс.руб.</v>
          </cell>
          <cell r="E893" t="str">
            <v>on_end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</row>
        <row r="894">
          <cell r="A894" t="str">
            <v> - кредиты покупателям</v>
          </cell>
          <cell r="B894" t="str">
            <v> - account receivable</v>
          </cell>
          <cell r="D894" t="str">
            <v>тыс.руб.</v>
          </cell>
          <cell r="E894" t="str">
            <v>on_end</v>
          </cell>
          <cell r="F894">
            <v>0</v>
          </cell>
          <cell r="G894">
            <v>0</v>
          </cell>
          <cell r="H894">
            <v>14051.534337796973</v>
          </cell>
          <cell r="I894">
            <v>16351.76867559395</v>
          </cell>
          <cell r="J894">
            <v>19175.465292440604</v>
          </cell>
          <cell r="K894">
            <v>21999.161909287257</v>
          </cell>
          <cell r="L894">
            <v>24822.858526133907</v>
          </cell>
          <cell r="M894">
            <v>27050.21199758099</v>
          </cell>
          <cell r="N894">
            <v>29277.56546902808</v>
          </cell>
          <cell r="O894">
            <v>31504.91894047516</v>
          </cell>
          <cell r="P894">
            <v>33732.272411922255</v>
          </cell>
          <cell r="Q894">
            <v>35959.62588336933</v>
          </cell>
          <cell r="R894">
            <v>38430.81913451403</v>
          </cell>
          <cell r="S894">
            <v>40902.012385658745</v>
          </cell>
          <cell r="T894">
            <v>43373.205636803454</v>
          </cell>
          <cell r="U894">
            <v>45844.39888794816</v>
          </cell>
          <cell r="V894">
            <v>45844.39888794816</v>
          </cell>
          <cell r="W894">
            <v>45844.39888794816</v>
          </cell>
          <cell r="X894">
            <v>45844.39888794816</v>
          </cell>
          <cell r="Y894">
            <v>45844.39888794816</v>
          </cell>
          <cell r="Z894">
            <v>45844.39888794816</v>
          </cell>
          <cell r="AA894">
            <v>45844.39888794816</v>
          </cell>
          <cell r="AB894">
            <v>45844.39888794816</v>
          </cell>
          <cell r="AC894">
            <v>45844.39888794816</v>
          </cell>
          <cell r="AD894">
            <v>45844.39888794816</v>
          </cell>
          <cell r="AE894">
            <v>45844.39888794816</v>
          </cell>
          <cell r="AF894">
            <v>45844.39888794816</v>
          </cell>
          <cell r="AG894">
            <v>45844.39888794816</v>
          </cell>
          <cell r="AH894">
            <v>45844.39888794816</v>
          </cell>
          <cell r="AI894">
            <v>45844.39888794816</v>
          </cell>
          <cell r="AJ894">
            <v>45844.39888794816</v>
          </cell>
        </row>
        <row r="895">
          <cell r="A895" t="str">
            <v> - авансы поставщикам</v>
          </cell>
          <cell r="B895" t="str">
            <v> - advanses to suppliers</v>
          </cell>
          <cell r="D895" t="str">
            <v>тыс.руб.</v>
          </cell>
          <cell r="E895" t="str">
            <v>on_end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</row>
        <row r="896">
          <cell r="A896" t="str">
            <v> - НДС уплаченный</v>
          </cell>
          <cell r="B896" t="str">
            <v> - VAT paid</v>
          </cell>
          <cell r="D896" t="str">
            <v>тыс.руб.</v>
          </cell>
          <cell r="E896" t="str">
            <v>on_end</v>
          </cell>
          <cell r="F896">
            <v>0</v>
          </cell>
          <cell r="G896">
            <v>21347.982</v>
          </cell>
          <cell r="H896">
            <v>27671.0122485</v>
          </cell>
          <cell r="I896">
            <v>35688.4915392</v>
          </cell>
          <cell r="J896">
            <v>44600.286329099996</v>
          </cell>
          <cell r="K896">
            <v>54341.20120140001</v>
          </cell>
          <cell r="L896">
            <v>64914.4221561</v>
          </cell>
          <cell r="M896">
            <v>75492.34810668002</v>
          </cell>
          <cell r="N896">
            <v>86092.23697398002</v>
          </cell>
          <cell r="O896">
            <v>96718.111318764</v>
          </cell>
          <cell r="P896">
            <v>107374.1143786189</v>
          </cell>
          <cell r="Q896">
            <v>118064.51368825928</v>
          </cell>
          <cell r="R896">
            <v>129065.76564518105</v>
          </cell>
          <cell r="S896">
            <v>140377.27060358282</v>
          </cell>
          <cell r="T896">
            <v>152003.6918138707</v>
          </cell>
          <cell r="U896">
            <v>163949.83242396286</v>
          </cell>
          <cell r="V896">
            <v>176030.3445808949</v>
          </cell>
          <cell r="W896">
            <v>188285.8077183333</v>
          </cell>
          <cell r="X896">
            <v>200721.4703656933</v>
          </cell>
          <cell r="Y896">
            <v>213342.73850827248</v>
          </cell>
          <cell r="Z896">
            <v>226155.18031092748</v>
          </cell>
          <cell r="AA896">
            <v>239164.5309834605</v>
          </cell>
          <cell r="AB896">
            <v>252376.69779196792</v>
          </cell>
          <cell r="AC896">
            <v>265797.765220529</v>
          </cell>
          <cell r="AD896">
            <v>279434.0002877452</v>
          </cell>
          <cell r="AE896">
            <v>293291.8580227764</v>
          </cell>
          <cell r="AF896">
            <v>307377.98710565694</v>
          </cell>
          <cell r="AG896">
            <v>321699.2356768222</v>
          </cell>
          <cell r="AH896">
            <v>336262.6573209209</v>
          </cell>
          <cell r="AI896">
            <v>351075.5172301409</v>
          </cell>
          <cell r="AJ896">
            <v>366145.2985524359</v>
          </cell>
        </row>
        <row r="897">
          <cell r="A897" t="str">
            <v> - резерв денежных средств</v>
          </cell>
          <cell r="B897" t="str">
            <v> - cash-in-hand</v>
          </cell>
          <cell r="D897" t="str">
            <v>тыс.руб.</v>
          </cell>
          <cell r="E897" t="str">
            <v>on_end</v>
          </cell>
          <cell r="F897">
            <v>0</v>
          </cell>
          <cell r="G897">
            <v>1396.4205254999997</v>
          </cell>
          <cell r="H897">
            <v>2182.7135609</v>
          </cell>
          <cell r="I897">
            <v>2354.2522377</v>
          </cell>
          <cell r="J897">
            <v>2477.8277377</v>
          </cell>
          <cell r="K897">
            <v>2566.5932377</v>
          </cell>
          <cell r="L897">
            <v>2569.56603766</v>
          </cell>
          <cell r="M897">
            <v>2640.68286766</v>
          </cell>
          <cell r="N897">
            <v>2713.9332025599997</v>
          </cell>
          <cell r="O897">
            <v>2789.3810475070004</v>
          </cell>
          <cell r="P897">
            <v>2867.092327802411</v>
          </cell>
          <cell r="Q897">
            <v>2980.745760886682</v>
          </cell>
          <cell r="R897">
            <v>3063.189658152083</v>
          </cell>
          <cell r="S897">
            <v>3148.1068723354456</v>
          </cell>
          <cell r="T897">
            <v>3235.5716029443092</v>
          </cell>
          <cell r="U897">
            <v>3093.0444234314386</v>
          </cell>
          <cell r="V897">
            <v>3185.835756134382</v>
          </cell>
          <cell r="W897">
            <v>3281.4108288184134</v>
          </cell>
          <cell r="X897">
            <v>3379.8531536829655</v>
          </cell>
          <cell r="Y897">
            <v>3481.2487482934544</v>
          </cell>
          <cell r="Z897">
            <v>3585.6862107422585</v>
          </cell>
          <cell r="AA897">
            <v>3693.256797064526</v>
          </cell>
          <cell r="AB897">
            <v>3804.054500976463</v>
          </cell>
          <cell r="AC897">
            <v>3918.176136005757</v>
          </cell>
          <cell r="AD897">
            <v>4035.7214200859294</v>
          </cell>
          <cell r="AE897">
            <v>4156.793062688507</v>
          </cell>
          <cell r="AF897">
            <v>4281.496854569162</v>
          </cell>
          <cell r="AG897">
            <v>4409.941760206237</v>
          </cell>
          <cell r="AH897">
            <v>4542.240013012424</v>
          </cell>
          <cell r="AI897">
            <v>4678.507213402798</v>
          </cell>
          <cell r="AJ897">
            <v>4818.862429804882</v>
          </cell>
        </row>
        <row r="898">
          <cell r="A898" t="str">
            <v> - свободные денежные средства</v>
          </cell>
          <cell r="B898" t="str">
            <v> - free cash (cash-in-bank)</v>
          </cell>
          <cell r="D898" t="str">
            <v>тыс.руб.</v>
          </cell>
          <cell r="E898" t="str">
            <v>on_end</v>
          </cell>
          <cell r="F898">
            <v>539186.756392189</v>
          </cell>
          <cell r="G898">
            <v>397842.45386668894</v>
          </cell>
          <cell r="H898">
            <v>423462.4166060084</v>
          </cell>
          <cell r="I898">
            <v>465438.57740418136</v>
          </cell>
          <cell r="J898">
            <v>517355.9552859237</v>
          </cell>
          <cell r="K898">
            <v>579902.4133031658</v>
          </cell>
          <cell r="L898">
            <v>653100.6400798608</v>
          </cell>
          <cell r="M898">
            <v>737101.975767211</v>
          </cell>
          <cell r="N898">
            <v>831322.3950142442</v>
          </cell>
          <cell r="O898">
            <v>935741.4445802395</v>
          </cell>
          <cell r="P898">
            <v>1050337.4015196932</v>
          </cell>
          <cell r="Q898">
            <v>1175054.2803843566</v>
          </cell>
          <cell r="R898">
            <v>1310048.662326383</v>
          </cell>
          <cell r="S898">
            <v>1455511.810713973</v>
          </cell>
          <cell r="T898">
            <v>1611419.017473238</v>
          </cell>
          <cell r="U898">
            <v>1777977.7156086788</v>
          </cell>
          <cell r="V898">
            <v>1945691.9301778702</v>
          </cell>
          <cell r="W898">
            <v>2112553.0445069736</v>
          </cell>
          <cell r="X898">
            <v>2278536.075527608</v>
          </cell>
          <cell r="Y898">
            <v>2443612.6797230067</v>
          </cell>
          <cell r="Z898">
            <v>2607753.6632708996</v>
          </cell>
          <cell r="AA898">
            <v>2770928.956534349</v>
          </cell>
          <cell r="AB898">
            <v>2933107.5877873083</v>
          </cell>
          <cell r="AC898">
            <v>3094257.6561519504</v>
          </cell>
          <cell r="AD898">
            <v>3254346.303724113</v>
          </cell>
          <cell r="AE898">
            <v>3413339.6868625088</v>
          </cell>
          <cell r="AF898">
            <v>3571202.946616612</v>
          </cell>
          <cell r="AG898">
            <v>3727900.178267381</v>
          </cell>
          <cell r="AH898">
            <v>3883394.399954203</v>
          </cell>
          <cell r="AI898">
            <v>4036722.5123005873</v>
          </cell>
          <cell r="AJ898">
            <v>4188555.665001634</v>
          </cell>
        </row>
        <row r="899">
          <cell r="A899" t="str">
            <v> = Итого </v>
          </cell>
          <cell r="B899" t="str">
            <v> = Total</v>
          </cell>
          <cell r="D899" t="str">
            <v>тыс.руб.</v>
          </cell>
          <cell r="E899" t="str">
            <v>on_end</v>
          </cell>
          <cell r="F899">
            <v>539186.756392189</v>
          </cell>
          <cell r="G899">
            <v>420586.8563921889</v>
          </cell>
          <cell r="H899">
            <v>468551.0839782054</v>
          </cell>
          <cell r="I899">
            <v>521251.1293366753</v>
          </cell>
          <cell r="J899">
            <v>585270.4031401642</v>
          </cell>
          <cell r="K899">
            <v>660713.0671615531</v>
          </cell>
          <cell r="L899">
            <v>747554.0133247548</v>
          </cell>
          <cell r="M899">
            <v>844600.3936011321</v>
          </cell>
          <cell r="N899">
            <v>951889.9538588123</v>
          </cell>
          <cell r="O899">
            <v>1069406.3274229856</v>
          </cell>
          <cell r="P899">
            <v>1197132.0005110367</v>
          </cell>
          <cell r="Q899">
            <v>1335048.933926872</v>
          </cell>
          <cell r="R899">
            <v>1483795.33705223</v>
          </cell>
          <cell r="S899">
            <v>1643323.23294155</v>
          </cell>
          <cell r="T899">
            <v>1813612.6509708567</v>
          </cell>
          <cell r="U899">
            <v>1994643.2878660213</v>
          </cell>
          <cell r="V899">
            <v>2174530.8059248477</v>
          </cell>
          <cell r="W899">
            <v>2353742.9584640735</v>
          </cell>
          <cell r="X899">
            <v>2532260.0944569325</v>
          </cell>
          <cell r="Y899">
            <v>2710059.3623895207</v>
          </cell>
          <cell r="Z899">
            <v>2887117.2252025176</v>
          </cell>
          <cell r="AA899">
            <v>3063409.439724822</v>
          </cell>
          <cell r="AB899">
            <v>3238911.035490201</v>
          </cell>
          <cell r="AC899">
            <v>3413596.2929184334</v>
          </cell>
          <cell r="AD899">
            <v>3587438.720841892</v>
          </cell>
          <cell r="AE899">
            <v>3760411.033357922</v>
          </cell>
          <cell r="AF899">
            <v>3932485.125986786</v>
          </cell>
          <cell r="AG899">
            <v>4103632.051114358</v>
          </cell>
          <cell r="AH899">
            <v>4273821.992698085</v>
          </cell>
          <cell r="AI899">
            <v>4442099.232154079</v>
          </cell>
          <cell r="AJ899">
            <v>4609142.5213938225</v>
          </cell>
        </row>
        <row r="901">
          <cell r="A901" t="str">
            <v>Прочие текущие активы</v>
          </cell>
          <cell r="B901" t="str">
            <v>Other current assets</v>
          </cell>
          <cell r="D901" t="str">
            <v>тыс.руб.</v>
          </cell>
          <cell r="E901" t="str">
            <v>,on_end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</row>
        <row r="903">
          <cell r="A903" t="str">
            <v>Убытки</v>
          </cell>
          <cell r="B903" t="str">
            <v>Losses</v>
          </cell>
          <cell r="D903" t="str">
            <v>тыс.руб.</v>
          </cell>
          <cell r="E903" t="str">
            <v>on_end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</row>
        <row r="905">
          <cell r="A905" t="str">
            <v> = Итого активов</v>
          </cell>
          <cell r="B905" t="str">
            <v> = Total assets</v>
          </cell>
          <cell r="D905" t="str">
            <v>тыс.руб.</v>
          </cell>
          <cell r="E905" t="str">
            <v>on_end</v>
          </cell>
          <cell r="F905">
            <v>539186.756392189</v>
          </cell>
          <cell r="G905">
            <v>539186.756392189</v>
          </cell>
          <cell r="H905">
            <v>582762.7876782054</v>
          </cell>
          <cell r="I905">
            <v>631074.6367366753</v>
          </cell>
          <cell r="J905">
            <v>690705.7142401643</v>
          </cell>
          <cell r="K905">
            <v>761760.181961553</v>
          </cell>
          <cell r="L905">
            <v>844212.9318247548</v>
          </cell>
          <cell r="M905">
            <v>936871.115801132</v>
          </cell>
          <cell r="N905">
            <v>1039772.4797588123</v>
          </cell>
          <cell r="O905">
            <v>1152900.6570229856</v>
          </cell>
          <cell r="P905">
            <v>1276238.1338110368</v>
          </cell>
          <cell r="Q905">
            <v>1409766.870926872</v>
          </cell>
          <cell r="R905">
            <v>1554125.07775223</v>
          </cell>
          <cell r="S905">
            <v>1709264.77734155</v>
          </cell>
          <cell r="T905">
            <v>1875165.9990708567</v>
          </cell>
          <cell r="U905">
            <v>2051808.4396660214</v>
          </cell>
          <cell r="V905">
            <v>2227307.761424848</v>
          </cell>
          <cell r="W905">
            <v>2402131.7176640737</v>
          </cell>
          <cell r="X905">
            <v>2576260.6573569328</v>
          </cell>
          <cell r="Y905">
            <v>2749671.7289895206</v>
          </cell>
          <cell r="Z905">
            <v>2922341.3955025175</v>
          </cell>
          <cell r="AA905">
            <v>3094245.413724822</v>
          </cell>
          <cell r="AB905">
            <v>3265358.813190201</v>
          </cell>
          <cell r="AC905">
            <v>3435655.8743184335</v>
          </cell>
          <cell r="AD905">
            <v>3605110.105941892</v>
          </cell>
          <cell r="AE905">
            <v>3773694.222157922</v>
          </cell>
          <cell r="AF905">
            <v>3941380.1184867863</v>
          </cell>
          <cell r="AG905">
            <v>4108138.847314358</v>
          </cell>
          <cell r="AH905">
            <v>4273940.592598084</v>
          </cell>
          <cell r="AI905">
            <v>4442099.232154079</v>
          </cell>
          <cell r="AJ905">
            <v>4609142.5213938225</v>
          </cell>
        </row>
        <row r="907">
          <cell r="A907" t="str">
            <v>2. ПАССИВЫ</v>
          </cell>
          <cell r="B907" t="str">
            <v>2. EQUITIES &amp; LIABILITIES</v>
          </cell>
        </row>
        <row r="908">
          <cell r="A908" t="str">
            <v>Источники собственных средств</v>
          </cell>
          <cell r="B908" t="str">
            <v>Equities</v>
          </cell>
        </row>
        <row r="909">
          <cell r="A909" t="str">
            <v> - уставный капитал</v>
          </cell>
          <cell r="B909" t="str">
            <v> - statutory equity</v>
          </cell>
          <cell r="D909" t="str">
            <v>тыс.руб.</v>
          </cell>
          <cell r="E909" t="str">
            <v>on_end</v>
          </cell>
          <cell r="F909">
            <v>539186.756392189</v>
          </cell>
          <cell r="G909">
            <v>539186.756392189</v>
          </cell>
          <cell r="H909">
            <v>539186.756392189</v>
          </cell>
          <cell r="I909">
            <v>539186.756392189</v>
          </cell>
          <cell r="J909">
            <v>539186.756392189</v>
          </cell>
          <cell r="K909">
            <v>539186.756392189</v>
          </cell>
          <cell r="L909">
            <v>539186.756392189</v>
          </cell>
          <cell r="M909">
            <v>539186.756392189</v>
          </cell>
          <cell r="N909">
            <v>539186.756392189</v>
          </cell>
          <cell r="O909">
            <v>539186.756392189</v>
          </cell>
          <cell r="P909">
            <v>539186.756392189</v>
          </cell>
          <cell r="Q909">
            <v>539186.756392189</v>
          </cell>
          <cell r="R909">
            <v>539186.756392189</v>
          </cell>
          <cell r="S909">
            <v>539186.756392189</v>
          </cell>
          <cell r="T909">
            <v>539186.756392189</v>
          </cell>
          <cell r="U909">
            <v>539186.756392189</v>
          </cell>
          <cell r="V909">
            <v>539186.756392189</v>
          </cell>
          <cell r="W909">
            <v>539186.756392189</v>
          </cell>
          <cell r="X909">
            <v>539186.756392189</v>
          </cell>
          <cell r="Y909">
            <v>539186.756392189</v>
          </cell>
          <cell r="Z909">
            <v>539186.756392189</v>
          </cell>
          <cell r="AA909">
            <v>539186.756392189</v>
          </cell>
          <cell r="AB909">
            <v>539186.756392189</v>
          </cell>
          <cell r="AC909">
            <v>539186.756392189</v>
          </cell>
          <cell r="AD909">
            <v>539186.756392189</v>
          </cell>
          <cell r="AE909">
            <v>539186.756392189</v>
          </cell>
          <cell r="AF909">
            <v>539186.756392189</v>
          </cell>
          <cell r="AG909">
            <v>539186.756392189</v>
          </cell>
          <cell r="AH909">
            <v>539186.756392189</v>
          </cell>
          <cell r="AI909">
            <v>539186.756392189</v>
          </cell>
          <cell r="AJ909">
            <v>539186.756392189</v>
          </cell>
        </row>
        <row r="910">
          <cell r="A910" t="str">
            <v> - - учредительный капитал</v>
          </cell>
          <cell r="B910" t="str">
            <v> - - constitutive equity</v>
          </cell>
          <cell r="D910" t="str">
            <v>тыс.руб.</v>
          </cell>
          <cell r="E910" t="str">
            <v>on_end</v>
          </cell>
          <cell r="F910">
            <v>539186.756392189</v>
          </cell>
          <cell r="G910">
            <v>539186.756392189</v>
          </cell>
          <cell r="H910">
            <v>539186.756392189</v>
          </cell>
          <cell r="I910">
            <v>539186.756392189</v>
          </cell>
          <cell r="J910">
            <v>539186.756392189</v>
          </cell>
          <cell r="K910">
            <v>539186.756392189</v>
          </cell>
          <cell r="L910">
            <v>539186.756392189</v>
          </cell>
          <cell r="M910">
            <v>539186.756392189</v>
          </cell>
          <cell r="N910">
            <v>539186.756392189</v>
          </cell>
          <cell r="O910">
            <v>539186.756392189</v>
          </cell>
          <cell r="P910">
            <v>539186.756392189</v>
          </cell>
          <cell r="Q910">
            <v>539186.756392189</v>
          </cell>
          <cell r="R910">
            <v>539186.756392189</v>
          </cell>
          <cell r="S910">
            <v>539186.756392189</v>
          </cell>
          <cell r="T910">
            <v>539186.756392189</v>
          </cell>
          <cell r="U910">
            <v>539186.756392189</v>
          </cell>
          <cell r="V910">
            <v>539186.756392189</v>
          </cell>
          <cell r="W910">
            <v>539186.756392189</v>
          </cell>
          <cell r="X910">
            <v>539186.756392189</v>
          </cell>
          <cell r="Y910">
            <v>539186.756392189</v>
          </cell>
          <cell r="Z910">
            <v>539186.756392189</v>
          </cell>
          <cell r="AA910">
            <v>539186.756392189</v>
          </cell>
          <cell r="AB910">
            <v>539186.756392189</v>
          </cell>
          <cell r="AC910">
            <v>539186.756392189</v>
          </cell>
          <cell r="AD910">
            <v>539186.756392189</v>
          </cell>
          <cell r="AE910">
            <v>539186.756392189</v>
          </cell>
          <cell r="AF910">
            <v>539186.756392189</v>
          </cell>
          <cell r="AG910">
            <v>539186.756392189</v>
          </cell>
          <cell r="AH910">
            <v>539186.756392189</v>
          </cell>
          <cell r="AI910">
            <v>539186.756392189</v>
          </cell>
          <cell r="AJ910">
            <v>539186.756392189</v>
          </cell>
        </row>
        <row r="911">
          <cell r="A911" t="str">
            <v> - - акционерный капитал</v>
          </cell>
          <cell r="B911" t="str">
            <v> - - preference &amp; ordinary shares</v>
          </cell>
          <cell r="D911" t="str">
            <v>тыс.руб.</v>
          </cell>
          <cell r="E911" t="str">
            <v>on_end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</row>
        <row r="912">
          <cell r="A912" t="str">
            <v> - целевые финансирование и поступления</v>
          </cell>
          <cell r="B912" t="str">
            <v> - target financing (financing from a public finance)</v>
          </cell>
          <cell r="D912" t="str">
            <v>тыс.руб.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</row>
        <row r="913">
          <cell r="A913" t="str">
            <v> - нераспределенная прибыль</v>
          </cell>
          <cell r="B913" t="str">
            <v> - retained profit</v>
          </cell>
          <cell r="D913" t="str">
            <v>тыс.руб.</v>
          </cell>
          <cell r="E913" t="str">
            <v>on_end</v>
          </cell>
          <cell r="F913">
            <v>0</v>
          </cell>
          <cell r="G913">
            <v>0</v>
          </cell>
          <cell r="H913">
            <v>41521.57697930053</v>
          </cell>
          <cell r="I913">
            <v>89548.15611007635</v>
          </cell>
          <cell r="J913">
            <v>148722.00099136174</v>
          </cell>
          <cell r="K913">
            <v>219308.11101445986</v>
          </cell>
          <cell r="L913">
            <v>301293.0341793708</v>
          </cell>
          <cell r="M913">
            <v>393533.8187035589</v>
          </cell>
          <cell r="N913">
            <v>496019.07110648206</v>
          </cell>
          <cell r="O913">
            <v>608731.8072426923</v>
          </cell>
          <cell r="P913">
            <v>731654.5334423783</v>
          </cell>
          <cell r="Q913">
            <v>864769.231225634</v>
          </cell>
          <cell r="R913">
            <v>1008687.1031008589</v>
          </cell>
          <cell r="S913">
            <v>1163386.9636039636</v>
          </cell>
          <cell r="T913">
            <v>1328849.1234554565</v>
          </cell>
          <cell r="U913">
            <v>1505053.3026974604</v>
          </cell>
          <cell r="V913">
            <v>1680586.7363403407</v>
          </cell>
          <cell r="W913">
            <v>1855448.1886492874</v>
          </cell>
          <cell r="X913">
            <v>2029615.49916677</v>
          </cell>
          <cell r="Y913">
            <v>2203065.8426215313</v>
          </cell>
          <cell r="Z913">
            <v>2375775.708984177</v>
          </cell>
          <cell r="AA913">
            <v>2547720.882924431</v>
          </cell>
          <cell r="AB913">
            <v>2718876.4226521086</v>
          </cell>
          <cell r="AC913">
            <v>2889216.63812332</v>
          </cell>
          <cell r="AD913">
            <v>3058715.068592858</v>
          </cell>
          <cell r="AE913">
            <v>3227344.4594931602</v>
          </cell>
          <cell r="AF913">
            <v>3395076.7386196363</v>
          </cell>
          <cell r="AG913">
            <v>3561882.9916015584</v>
          </cell>
          <cell r="AH913">
            <v>3727733.4366370775</v>
          </cell>
          <cell r="AI913">
            <v>3895809.8428016487</v>
          </cell>
          <cell r="AJ913">
            <v>4062892.50694981</v>
          </cell>
        </row>
        <row r="914">
          <cell r="A914" t="str">
            <v> = Итого собственные средства</v>
          </cell>
          <cell r="B914" t="str">
            <v> = Total equities</v>
          </cell>
          <cell r="D914" t="str">
            <v>тыс.руб.</v>
          </cell>
          <cell r="E914" t="str">
            <v>on_end</v>
          </cell>
          <cell r="F914">
            <v>539186.756392189</v>
          </cell>
          <cell r="G914">
            <v>539186.756392189</v>
          </cell>
          <cell r="H914">
            <v>580708.3333714895</v>
          </cell>
          <cell r="I914">
            <v>628734.9125022653</v>
          </cell>
          <cell r="J914">
            <v>687908.7573835508</v>
          </cell>
          <cell r="K914">
            <v>758494.8674066488</v>
          </cell>
          <cell r="L914">
            <v>840479.7905715597</v>
          </cell>
          <cell r="M914">
            <v>932720.5750957478</v>
          </cell>
          <cell r="N914">
            <v>1035205.827498671</v>
          </cell>
          <cell r="O914">
            <v>1147918.5636348813</v>
          </cell>
          <cell r="P914">
            <v>1270841.2898345673</v>
          </cell>
          <cell r="Q914">
            <v>1403955.9876178228</v>
          </cell>
          <cell r="R914">
            <v>1547873.859493048</v>
          </cell>
          <cell r="S914">
            <v>1702573.7199961524</v>
          </cell>
          <cell r="T914">
            <v>1868035.8798476453</v>
          </cell>
          <cell r="U914">
            <v>2044240.0590896495</v>
          </cell>
          <cell r="V914">
            <v>2219773.4927325295</v>
          </cell>
          <cell r="W914">
            <v>2394634.9450414763</v>
          </cell>
          <cell r="X914">
            <v>2568802.2555589587</v>
          </cell>
          <cell r="Y914">
            <v>2742252.59901372</v>
          </cell>
          <cell r="Z914">
            <v>2914962.465376366</v>
          </cell>
          <cell r="AA914">
            <v>3086907.63931662</v>
          </cell>
          <cell r="AB914">
            <v>3258063.1790442974</v>
          </cell>
          <cell r="AC914">
            <v>3428403.394515509</v>
          </cell>
          <cell r="AD914">
            <v>3597901.824985047</v>
          </cell>
          <cell r="AE914">
            <v>3766531.215885349</v>
          </cell>
          <cell r="AF914">
            <v>3934263.495011825</v>
          </cell>
          <cell r="AG914">
            <v>4101069.7479937472</v>
          </cell>
          <cell r="AH914">
            <v>4266920.193029267</v>
          </cell>
          <cell r="AI914">
            <v>4434996.5991938375</v>
          </cell>
          <cell r="AJ914">
            <v>4602079.263341999</v>
          </cell>
        </row>
        <row r="916">
          <cell r="A916" t="str">
            <v>Долгосрочные пассивы (кредиты)</v>
          </cell>
          <cell r="B916" t="str">
            <v>Long-term liabilities (loans)</v>
          </cell>
          <cell r="D916" t="str">
            <v>тыс.руб.</v>
          </cell>
          <cell r="E916" t="str">
            <v>on_end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</row>
        <row r="918">
          <cell r="A918" t="str">
            <v>Краткосрочные пассивы</v>
          </cell>
          <cell r="B918" t="str">
            <v>Current liabilities</v>
          </cell>
        </row>
        <row r="919">
          <cell r="A919" t="str">
            <v> - счета к оплате</v>
          </cell>
          <cell r="B919" t="str">
            <v> - accounts payable</v>
          </cell>
          <cell r="D919" t="str">
            <v>тыс.руб.</v>
          </cell>
          <cell r="E919" t="str">
            <v>on_end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</row>
        <row r="920">
          <cell r="A920" t="str">
            <v> - расчеты с бюджетом</v>
          </cell>
          <cell r="B920" t="str">
            <v> - deferred taxes</v>
          </cell>
          <cell r="D920" t="str">
            <v>тыс.руб.</v>
          </cell>
          <cell r="E920" t="str">
            <v>on_end</v>
          </cell>
          <cell r="F920">
            <v>0</v>
          </cell>
          <cell r="G920">
            <v>0</v>
          </cell>
          <cell r="H920">
            <v>2054.454306715942</v>
          </cell>
          <cell r="I920">
            <v>2339.724234410041</v>
          </cell>
          <cell r="J920">
            <v>2796.9568566136254</v>
          </cell>
          <cell r="K920">
            <v>3265.3145549043065</v>
          </cell>
          <cell r="L920">
            <v>3733.141253194988</v>
          </cell>
          <cell r="M920">
            <v>4150.5407053842555</v>
          </cell>
          <cell r="N920">
            <v>4566.652260141296</v>
          </cell>
          <cell r="O920">
            <v>4982.093388104335</v>
          </cell>
          <cell r="P920">
            <v>5396.843976469557</v>
          </cell>
          <cell r="Q920">
            <v>5810.883309049017</v>
          </cell>
          <cell r="R920">
            <v>6251.218259182325</v>
          </cell>
          <cell r="S920">
            <v>6691.057345397192</v>
          </cell>
          <cell r="T920">
            <v>7130.119223211056</v>
          </cell>
          <cell r="U920">
            <v>7568.380576371888</v>
          </cell>
          <cell r="V920">
            <v>7534.268692317916</v>
          </cell>
          <cell r="W920">
            <v>7496.7726225968545</v>
          </cell>
          <cell r="X920">
            <v>7458.401797973261</v>
          </cell>
          <cell r="Y920">
            <v>7419.129975800062</v>
          </cell>
          <cell r="Z920">
            <v>7378.930126150765</v>
          </cell>
          <cell r="AA920">
            <v>7337.774408201092</v>
          </cell>
          <cell r="AB920">
            <v>7295.634145902028</v>
          </cell>
          <cell r="AC920">
            <v>7252.479802923089</v>
          </cell>
          <cell r="AD920">
            <v>7208.280956843885</v>
          </cell>
          <cell r="AE920">
            <v>7163.006272571402</v>
          </cell>
          <cell r="AF920">
            <v>7116.623474959846</v>
          </cell>
          <cell r="AG920">
            <v>7069.099320609043</v>
          </cell>
          <cell r="AH920">
            <v>7020.399568816818</v>
          </cell>
          <cell r="AI920">
            <v>7102.632960239923</v>
          </cell>
          <cell r="AJ920">
            <v>7063.258051822424</v>
          </cell>
        </row>
        <row r="921">
          <cell r="A921" t="str">
            <v> - расчеты с персоналом</v>
          </cell>
          <cell r="B921" t="str">
            <v> - deferred wages &amp; salaries</v>
          </cell>
          <cell r="D921" t="str">
            <v>тыс.руб.</v>
          </cell>
          <cell r="E921" t="str">
            <v>on_end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</row>
        <row r="922">
          <cell r="A922" t="str">
            <v> - авансы покупателей</v>
          </cell>
          <cell r="B922" t="str">
            <v> - buyers advances</v>
          </cell>
          <cell r="D922" t="str">
            <v>тыс.руб.</v>
          </cell>
          <cell r="E922" t="str">
            <v>on_end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</row>
        <row r="923">
          <cell r="A923" t="str">
            <v> = Итого краткосрочные пассивы</v>
          </cell>
          <cell r="B923" t="str">
            <v> = Total current liabilities</v>
          </cell>
          <cell r="D923" t="str">
            <v>тыс.руб.</v>
          </cell>
          <cell r="E923" t="str">
            <v>on_end</v>
          </cell>
          <cell r="F923">
            <v>0</v>
          </cell>
          <cell r="G923">
            <v>0</v>
          </cell>
          <cell r="H923">
            <v>2054.454306715942</v>
          </cell>
          <cell r="I923">
            <v>2339.724234410041</v>
          </cell>
          <cell r="J923">
            <v>2796.9568566136254</v>
          </cell>
          <cell r="K923">
            <v>3265.3145549043065</v>
          </cell>
          <cell r="L923">
            <v>3733.141253194988</v>
          </cell>
          <cell r="M923">
            <v>4150.5407053842555</v>
          </cell>
          <cell r="N923">
            <v>4566.652260141296</v>
          </cell>
          <cell r="O923">
            <v>4982.093388104335</v>
          </cell>
          <cell r="P923">
            <v>5396.843976469557</v>
          </cell>
          <cell r="Q923">
            <v>5810.883309049017</v>
          </cell>
          <cell r="R923">
            <v>6251.218259182325</v>
          </cell>
          <cell r="S923">
            <v>6691.057345397192</v>
          </cell>
          <cell r="T923">
            <v>7130.119223211056</v>
          </cell>
          <cell r="U923">
            <v>7568.380576371888</v>
          </cell>
          <cell r="V923">
            <v>7534.268692317916</v>
          </cell>
          <cell r="W923">
            <v>7496.7726225968545</v>
          </cell>
          <cell r="X923">
            <v>7458.401797973261</v>
          </cell>
          <cell r="Y923">
            <v>7419.129975800062</v>
          </cell>
          <cell r="Z923">
            <v>7378.930126150765</v>
          </cell>
          <cell r="AA923">
            <v>7337.774408201092</v>
          </cell>
          <cell r="AB923">
            <v>7295.634145902028</v>
          </cell>
          <cell r="AC923">
            <v>7252.479802923089</v>
          </cell>
          <cell r="AD923">
            <v>7208.280956843885</v>
          </cell>
          <cell r="AE923">
            <v>7163.006272571402</v>
          </cell>
          <cell r="AF923">
            <v>7116.623474959846</v>
          </cell>
          <cell r="AG923">
            <v>7069.099320609043</v>
          </cell>
          <cell r="AH923">
            <v>7020.399568816818</v>
          </cell>
          <cell r="AI923">
            <v>7102.632960239923</v>
          </cell>
          <cell r="AJ923">
            <v>7063.258051822424</v>
          </cell>
        </row>
        <row r="925">
          <cell r="A925" t="str">
            <v> = Итого пассивы</v>
          </cell>
          <cell r="B925" t="str">
            <v> = Total equities &amp; liabilities</v>
          </cell>
          <cell r="D925" t="str">
            <v>тыс.руб.</v>
          </cell>
          <cell r="E925" t="str">
            <v>on_end</v>
          </cell>
          <cell r="F925">
            <v>539186.756392189</v>
          </cell>
          <cell r="G925">
            <v>539186.756392189</v>
          </cell>
          <cell r="H925">
            <v>582762.7876782055</v>
          </cell>
          <cell r="I925">
            <v>631074.6367366754</v>
          </cell>
          <cell r="J925">
            <v>690705.7142401644</v>
          </cell>
          <cell r="K925">
            <v>761760.1819615532</v>
          </cell>
          <cell r="L925">
            <v>844212.9318247547</v>
          </cell>
          <cell r="M925">
            <v>936871.115801132</v>
          </cell>
          <cell r="N925">
            <v>1039772.4797588123</v>
          </cell>
          <cell r="O925">
            <v>1152900.6570229856</v>
          </cell>
          <cell r="P925">
            <v>1276238.1338110368</v>
          </cell>
          <cell r="Q925">
            <v>1409766.870926872</v>
          </cell>
          <cell r="R925">
            <v>1554125.0777522302</v>
          </cell>
          <cell r="S925">
            <v>1709264.7773415498</v>
          </cell>
          <cell r="T925">
            <v>1875165.9990708563</v>
          </cell>
          <cell r="U925">
            <v>2051808.4396660214</v>
          </cell>
          <cell r="V925">
            <v>2227307.7614248474</v>
          </cell>
          <cell r="W925">
            <v>2402131.717664073</v>
          </cell>
          <cell r="X925">
            <v>2576260.657356932</v>
          </cell>
          <cell r="Y925">
            <v>2749671.72898952</v>
          </cell>
          <cell r="Z925">
            <v>2922341.3955025165</v>
          </cell>
          <cell r="AA925">
            <v>3094245.413724821</v>
          </cell>
          <cell r="AB925">
            <v>3265358.8131901994</v>
          </cell>
          <cell r="AC925">
            <v>3435655.874318432</v>
          </cell>
          <cell r="AD925">
            <v>3605110.1059418907</v>
          </cell>
          <cell r="AE925">
            <v>3773694.2221579207</v>
          </cell>
          <cell r="AF925">
            <v>3941380.118486785</v>
          </cell>
          <cell r="AG925">
            <v>4108138.8473143564</v>
          </cell>
          <cell r="AH925">
            <v>4273940.592598083</v>
          </cell>
          <cell r="AI925">
            <v>4442099.232154078</v>
          </cell>
          <cell r="AJ925">
            <v>4609142.521393821</v>
          </cell>
        </row>
        <row r="927">
          <cell r="A927" t="str">
            <v>Сальдо баланса</v>
          </cell>
          <cell r="B927" t="str">
            <v>Balance</v>
          </cell>
          <cell r="D927" t="str">
            <v>тыс.руб.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</row>
        <row r="929">
          <cell r="A929" t="str">
            <v>Арендованные основные средства</v>
          </cell>
          <cell r="B929" t="str">
            <v>Rented fixed assets (free from deprecation)</v>
          </cell>
          <cell r="D929" t="str">
            <v>тыс.долл.</v>
          </cell>
          <cell r="E929" t="str">
            <v>,on_end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2">
          <cell r="A932" t="str">
            <v>Цт=максимальные Постоянные цены</v>
          </cell>
          <cell r="B932" t="str">
            <v>Цт=максимальные Постоянные цены</v>
          </cell>
          <cell r="AK932" t="str">
            <v>АЛЬТ-Инвест™ 3.0</v>
          </cell>
        </row>
        <row r="933">
          <cell r="A933" t="str">
            <v>ПОКАЗАТЕЛИ ФИНАНСОВОЙ СОСТОЯТЕЛЬНОСТИ ПРОЕКТА</v>
          </cell>
          <cell r="B933" t="str">
            <v>FINANCIAL RATIOS</v>
          </cell>
          <cell r="F933" t="str">
            <v>"0"</v>
          </cell>
          <cell r="G933" t="str">
            <v>1 год</v>
          </cell>
          <cell r="H933" t="str">
            <v>2 год</v>
          </cell>
          <cell r="I933" t="str">
            <v>3 год</v>
          </cell>
          <cell r="J933" t="str">
            <v>4 год</v>
          </cell>
          <cell r="K933" t="str">
            <v>5 год</v>
          </cell>
          <cell r="L933" t="str">
            <v>6 год</v>
          </cell>
          <cell r="M933" t="str">
            <v>7 год</v>
          </cell>
          <cell r="N933" t="str">
            <v>8 год</v>
          </cell>
          <cell r="O933" t="str">
            <v>9 год</v>
          </cell>
          <cell r="P933" t="str">
            <v>10 год</v>
          </cell>
          <cell r="Q933" t="str">
            <v>11 год</v>
          </cell>
          <cell r="R933" t="str">
            <v>12 год</v>
          </cell>
          <cell r="S933" t="str">
            <v>13 год</v>
          </cell>
          <cell r="T933" t="str">
            <v>14 год</v>
          </cell>
          <cell r="U933" t="str">
            <v>15 год</v>
          </cell>
          <cell r="V933" t="str">
            <v>16 год</v>
          </cell>
          <cell r="W933" t="str">
            <v>17 год</v>
          </cell>
          <cell r="X933" t="str">
            <v>18 год</v>
          </cell>
          <cell r="Y933" t="str">
            <v>19 год</v>
          </cell>
          <cell r="Z933" t="str">
            <v>20 год</v>
          </cell>
          <cell r="AA933" t="str">
            <v>21 год</v>
          </cell>
          <cell r="AB933" t="str">
            <v>22 год</v>
          </cell>
          <cell r="AC933" t="str">
            <v>23 год</v>
          </cell>
          <cell r="AD933" t="str">
            <v>24 год</v>
          </cell>
          <cell r="AE933" t="str">
            <v>25 год</v>
          </cell>
          <cell r="AF933" t="str">
            <v>26 год</v>
          </cell>
          <cell r="AG933" t="str">
            <v>27 год</v>
          </cell>
          <cell r="AH933" t="str">
            <v>28 год</v>
          </cell>
          <cell r="AI933" t="str">
            <v>29 год</v>
          </cell>
          <cell r="AJ933" t="str">
            <v>30 год</v>
          </cell>
        </row>
        <row r="935">
          <cell r="A935" t="str">
            <v>Рентабельность активов</v>
          </cell>
          <cell r="B935" t="str">
            <v>Return on assets (ROA)</v>
          </cell>
          <cell r="D935" t="str">
            <v>%</v>
          </cell>
          <cell r="E935" t="str">
            <v>on_end</v>
          </cell>
          <cell r="F935" t="str">
            <v>-</v>
          </cell>
          <cell r="G935">
            <v>0</v>
          </cell>
          <cell r="H935">
            <v>0.07401683471194555</v>
          </cell>
          <cell r="I935">
            <v>0.07913181479624683</v>
          </cell>
          <cell r="J935">
            <v>0.08953657820310906</v>
          </cell>
          <cell r="K935">
            <v>0.0971948604200414</v>
          </cell>
          <cell r="L935">
            <v>0.10209999465261274</v>
          </cell>
          <cell r="M935">
            <v>0.10357825016415297</v>
          </cell>
          <cell r="N935">
            <v>0.10369623804021297</v>
          </cell>
          <cell r="O935">
            <v>0.10280851645917419</v>
          </cell>
          <cell r="P935">
            <v>0.10120683648337901</v>
          </cell>
          <cell r="Q935">
            <v>0.0991172373457618</v>
          </cell>
          <cell r="R935">
            <v>0.097114115067092</v>
          </cell>
          <cell r="S935">
            <v>0.09480930405028747</v>
          </cell>
          <cell r="T935">
            <v>0.09232269789687554</v>
          </cell>
          <cell r="U935">
            <v>0.08974042586265495</v>
          </cell>
          <cell r="V935">
            <v>0.08204191024218126</v>
          </cell>
          <cell r="W935">
            <v>0.07554325014887536</v>
          </cell>
          <cell r="X935">
            <v>0.06996929827844178</v>
          </cell>
          <cell r="Y935">
            <v>0.06513426415228939</v>
          </cell>
          <cell r="Z935">
            <v>0.060898965701216744</v>
          </cell>
          <cell r="AA935">
            <v>0.05715704913508451</v>
          </cell>
          <cell r="AB935">
            <v>0.05382584626990338</v>
          </cell>
          <cell r="AC935">
            <v>0.05084012598532064</v>
          </cell>
          <cell r="AD935">
            <v>0.048147724535866826</v>
          </cell>
          <cell r="AE935">
            <v>0.04570642705841405</v>
          </cell>
          <cell r="AF935">
            <v>0.04348170133444481</v>
          </cell>
          <cell r="AG935">
            <v>0.041445023905306265</v>
          </cell>
          <cell r="AH935">
            <v>0.03957262543845604</v>
          </cell>
          <cell r="AI935">
            <v>0.03856714965603095</v>
          </cell>
          <cell r="AJ935">
            <v>0.0369192799612646</v>
          </cell>
        </row>
        <row r="936">
          <cell r="A936" t="str">
            <v>Рентабельность собственного капитала</v>
          </cell>
          <cell r="B936" t="str">
            <v>Return on invested capital (ROIC)</v>
          </cell>
          <cell r="D936" t="str">
            <v>%</v>
          </cell>
          <cell r="E936" t="str">
            <v>on_end</v>
          </cell>
          <cell r="F936" t="str">
            <v>-</v>
          </cell>
          <cell r="G936">
            <v>0</v>
          </cell>
          <cell r="H936">
            <v>0.07415261904231128</v>
          </cell>
          <cell r="I936">
            <v>0.0794193184254451</v>
          </cell>
          <cell r="J936">
            <v>0.08988589127750432</v>
          </cell>
          <cell r="K936">
            <v>0.09760223054382436</v>
          </cell>
          <cell r="L936">
            <v>0.10254686996550041</v>
          </cell>
          <cell r="M936">
            <v>0.1040387609997759</v>
          </cell>
          <cell r="N936">
            <v>0.10415557438307818</v>
          </cell>
          <cell r="O936">
            <v>0.10325818958734273</v>
          </cell>
          <cell r="P936">
            <v>0.10164111664361111</v>
          </cell>
          <cell r="Q936">
            <v>0.09953255067616992</v>
          </cell>
          <cell r="R936">
            <v>0.09751095376726121</v>
          </cell>
          <cell r="S936">
            <v>0.09518680533676876</v>
          </cell>
          <cell r="T936">
            <v>0.0926800621713061</v>
          </cell>
          <cell r="U936">
            <v>0.09007758245696076</v>
          </cell>
          <cell r="V936">
            <v>0.08233249332327665</v>
          </cell>
          <cell r="W936">
            <v>0.07578932583319395</v>
          </cell>
          <cell r="X936">
            <v>0.0701801205408273</v>
          </cell>
          <cell r="Y936">
            <v>0.06531672076609232</v>
          </cell>
          <cell r="Z936">
            <v>0.06105826432153363</v>
          </cell>
          <cell r="AA936">
            <v>0.05729719935318382</v>
          </cell>
          <cell r="AB936">
            <v>0.05394998483913976</v>
          </cell>
          <cell r="AC936">
            <v>0.05095074165024175</v>
          </cell>
          <cell r="AD936">
            <v>0.048246816833153884</v>
          </cell>
          <cell r="AE936">
            <v>0.04579562064437531</v>
          </cell>
          <cell r="AF936">
            <v>0.04356232971361326</v>
          </cell>
          <cell r="AG936">
            <v>0.041518191700915516</v>
          </cell>
          <cell r="AH936">
            <v>0.03963925535389528</v>
          </cell>
          <cell r="AI936">
            <v>0.03862974334913911</v>
          </cell>
          <cell r="AJ936">
            <v>0.03697715205442067</v>
          </cell>
        </row>
        <row r="937">
          <cell r="A937" t="str">
            <v>Рентабельность постоянных активов</v>
          </cell>
          <cell r="B937" t="str">
            <v>Return on invested capital (ROIC)</v>
          </cell>
          <cell r="D937" t="str">
            <v>%</v>
          </cell>
          <cell r="E937" t="str">
            <v>,on_end</v>
          </cell>
          <cell r="F937" t="str">
            <v>-</v>
          </cell>
          <cell r="G937">
            <v>0</v>
          </cell>
          <cell r="H937">
            <v>0.356696799638948</v>
          </cell>
          <cell r="I937">
            <v>0.4287413473531064</v>
          </cell>
          <cell r="J937">
            <v>0.5497925269090462</v>
          </cell>
          <cell r="K937">
            <v>0.683700898179908</v>
          </cell>
          <cell r="L937">
            <v>0.8293618742580976</v>
          </cell>
          <cell r="M937">
            <v>0.9764564647709947</v>
          </cell>
          <cell r="N937">
            <v>1.1377563655808793</v>
          </cell>
          <cell r="O937">
            <v>1.3153787401147672</v>
          </cell>
          <cell r="P937">
            <v>1.5119603475579773</v>
          </cell>
          <cell r="Q937">
            <v>1.7307395068098868</v>
          </cell>
          <cell r="R937">
            <v>1.9844215937450327</v>
          </cell>
          <cell r="S937">
            <v>2.270468945670856</v>
          </cell>
          <cell r="T937">
            <v>2.5955888366507347</v>
          </cell>
          <cell r="U937">
            <v>2.9684367540092853</v>
          </cell>
          <cell r="V937">
            <v>3.1931975464850906</v>
          </cell>
          <cell r="W937">
            <v>3.4569310922675016</v>
          </cell>
          <cell r="X937">
            <v>3.7702909071887722</v>
          </cell>
          <cell r="Y937">
            <v>4.148888084462134</v>
          </cell>
          <cell r="Z937">
            <v>4.615656296159949</v>
          </cell>
          <cell r="AA937">
            <v>5.205715965723494</v>
          </cell>
          <cell r="AB937">
            <v>5.975709853084833</v>
          </cell>
          <cell r="AC937">
            <v>7.023273112850666</v>
          </cell>
          <cell r="AD937">
            <v>8.532308443568205</v>
          </cell>
          <cell r="AE937">
            <v>10.895281029877225</v>
          </cell>
          <cell r="AF937">
            <v>15.125882222495399</v>
          </cell>
          <cell r="AG937">
            <v>24.893132807252893</v>
          </cell>
          <cell r="AH937">
            <v>71.7129696354066</v>
          </cell>
          <cell r="AI937">
            <v>2834.343134597357</v>
          </cell>
          <cell r="AJ937" t="str">
            <v>-</v>
          </cell>
        </row>
        <row r="938">
          <cell r="A938" t="str">
            <v>Себестоимость к выручке от реализации</v>
          </cell>
          <cell r="B938" t="str">
            <v>Cost price to sales revenues</v>
          </cell>
          <cell r="D938" t="str">
            <v>%</v>
          </cell>
          <cell r="E938" t="str">
            <v>on_end</v>
          </cell>
          <cell r="F938" t="str">
            <v>-</v>
          </cell>
          <cell r="G938" t="str">
            <v>-</v>
          </cell>
          <cell r="H938">
            <v>0.6462818334772524</v>
          </cell>
          <cell r="I938">
            <v>0.6498514084815977</v>
          </cell>
          <cell r="J938">
            <v>0.635599648254937</v>
          </cell>
          <cell r="K938">
            <v>0.6236654896933987</v>
          </cell>
          <cell r="L938">
            <v>0.6145058659920476</v>
          </cell>
          <cell r="M938">
            <v>0.6035424305901919</v>
          </cell>
          <cell r="N938">
            <v>0.5943088844735703</v>
          </cell>
          <cell r="O938">
            <v>0.5864400471100322</v>
          </cell>
          <cell r="P938">
            <v>0.5796672381887488</v>
          </cell>
          <cell r="Q938">
            <v>0.5737883926681081</v>
          </cell>
          <cell r="R938">
            <v>0.5694876301623407</v>
          </cell>
          <cell r="S938">
            <v>0.5657577946228135</v>
          </cell>
          <cell r="T938">
            <v>0.5625027499305149</v>
          </cell>
          <cell r="U938">
            <v>0.5596471295733042</v>
          </cell>
          <cell r="V938">
            <v>0.5613624257607798</v>
          </cell>
          <cell r="W938">
            <v>0.5631291808338797</v>
          </cell>
          <cell r="X938">
            <v>0.5649489385591727</v>
          </cell>
          <cell r="Y938">
            <v>0.5668232890162246</v>
          </cell>
          <cell r="Z938">
            <v>0.5687538699869878</v>
          </cell>
          <cell r="AA938">
            <v>0.570742368386874</v>
          </cell>
          <cell r="AB938">
            <v>0.5727905217387568</v>
          </cell>
          <cell r="AC938">
            <v>0.5749001196911961</v>
          </cell>
          <cell r="AD938">
            <v>0.5770730055822086</v>
          </cell>
          <cell r="AE938">
            <v>0.5793110780499515</v>
          </cell>
          <cell r="AF938">
            <v>0.5816162926917265</v>
          </cell>
          <cell r="AG938">
            <v>0.583990663772755</v>
          </cell>
          <cell r="AH938">
            <v>0.5864362659862142</v>
          </cell>
          <cell r="AI938">
            <v>0.581194207467998</v>
          </cell>
          <cell r="AJ938">
            <v>0.5835731627229768</v>
          </cell>
        </row>
        <row r="940">
          <cell r="A940" t="str">
            <v>Рентабельность по балансовой прибыли </v>
          </cell>
          <cell r="B940" t="str">
            <v>Gross profit to cost price</v>
          </cell>
          <cell r="D940" t="str">
            <v>%</v>
          </cell>
          <cell r="E940" t="str">
            <v>,on_end</v>
          </cell>
          <cell r="F940" t="str">
            <v>-</v>
          </cell>
          <cell r="G940" t="str">
            <v>-</v>
          </cell>
          <cell r="H940">
            <v>0.5473125627245371</v>
          </cell>
          <cell r="I940">
            <v>0.5388133147799703</v>
          </cell>
          <cell r="J940">
            <v>0.5733174219739392</v>
          </cell>
          <cell r="K940">
            <v>0.603423656633</v>
          </cell>
          <cell r="L940">
            <v>0.6273237658775109</v>
          </cell>
          <cell r="M940">
            <v>0.6568843370666092</v>
          </cell>
          <cell r="N940">
            <v>0.6826267049428087</v>
          </cell>
          <cell r="O940">
            <v>0.7052041464903107</v>
          </cell>
          <cell r="P940">
            <v>0.7251276838150101</v>
          </cell>
          <cell r="Q940">
            <v>0.7428027697632812</v>
          </cell>
          <cell r="R940">
            <v>0.7559643915618247</v>
          </cell>
          <cell r="S940">
            <v>0.7675408266653977</v>
          </cell>
          <cell r="T940">
            <v>0.7777690866818492</v>
          </cell>
          <cell r="U940">
            <v>0.786840219769263</v>
          </cell>
          <cell r="V940">
            <v>0.781380359835737</v>
          </cell>
          <cell r="W940">
            <v>0.7757914773999163</v>
          </cell>
          <cell r="X940">
            <v>0.7700714732739691</v>
          </cell>
          <cell r="Y940">
            <v>0.7642182658648247</v>
          </cell>
          <cell r="Z940">
            <v>0.758229794590898</v>
          </cell>
          <cell r="AA940">
            <v>0.7521040234429495</v>
          </cell>
          <cell r="AB940">
            <v>0.7458389446885585</v>
          </cell>
          <cell r="AC940">
            <v>0.73943258271914</v>
          </cell>
          <cell r="AD940">
            <v>0.7328829980378316</v>
          </cell>
          <cell r="AE940">
            <v>0.7261882913859526</v>
          </cell>
          <cell r="AF940">
            <v>0.7193466080050629</v>
          </cell>
          <cell r="AG940">
            <v>0.7123561420309357</v>
          </cell>
          <cell r="AH940">
            <v>0.7052151410150131</v>
          </cell>
          <cell r="AI940">
            <v>0.7205952625655899</v>
          </cell>
          <cell r="AJ940">
            <v>0.7135811992003851</v>
          </cell>
        </row>
        <row r="941">
          <cell r="A941" t="str">
            <v>Рентабельность по чистой прибыли </v>
          </cell>
          <cell r="B941" t="str">
            <v>Net profit to cost price</v>
          </cell>
          <cell r="D941" t="str">
            <v>%</v>
          </cell>
          <cell r="E941" t="str">
            <v>,on_end</v>
          </cell>
          <cell r="F941" t="str">
            <v>-</v>
          </cell>
          <cell r="G941" t="str">
            <v>-</v>
          </cell>
          <cell r="H941">
            <v>0.3810192309473111</v>
          </cell>
          <cell r="I941">
            <v>0.3766358087207919</v>
          </cell>
          <cell r="J941">
            <v>0.4045935768140634</v>
          </cell>
          <cell r="K941">
            <v>0.4287263271945941</v>
          </cell>
          <cell r="L941">
            <v>0.4478936681467698</v>
          </cell>
          <cell r="M941">
            <v>0.4708290614337596</v>
          </cell>
          <cell r="N941">
            <v>0.4908320864838384</v>
          </cell>
          <cell r="O941">
            <v>0.5083815255031285</v>
          </cell>
          <cell r="P941">
            <v>0.5238736842954332</v>
          </cell>
          <cell r="Q941">
            <v>0.5376230014769436</v>
          </cell>
          <cell r="R941">
            <v>0.5479861042377433</v>
          </cell>
          <cell r="S941">
            <v>0.557100379195022</v>
          </cell>
          <cell r="T941">
            <v>0.565159811764056</v>
          </cell>
          <cell r="U941">
            <v>0.5723140339902644</v>
          </cell>
          <cell r="V941">
            <v>0.5683933384283775</v>
          </cell>
          <cell r="W941">
            <v>0.5644409572893143</v>
          </cell>
          <cell r="X941">
            <v>0.56038941034243</v>
          </cell>
          <cell r="Y941">
            <v>0.5562370968722301</v>
          </cell>
          <cell r="Z941">
            <v>0.5519824308323612</v>
          </cell>
          <cell r="AA941">
            <v>0.5476238435158752</v>
          </cell>
          <cell r="AB941">
            <v>0.5431597863352844</v>
          </cell>
          <cell r="AC941">
            <v>0.5385887337117278</v>
          </cell>
          <cell r="AD941">
            <v>0.5339091860721205</v>
          </cell>
          <cell r="AE941">
            <v>0.5291196729526911</v>
          </cell>
          <cell r="AF941">
            <v>0.5242187562068031</v>
          </cell>
          <cell r="AG941">
            <v>0.5192050333144207</v>
          </cell>
          <cell r="AH941">
            <v>0.5140771407900251</v>
          </cell>
          <cell r="AI941">
            <v>0.5256757554007966</v>
          </cell>
          <cell r="AJ941">
            <v>0.5204374633572885</v>
          </cell>
        </row>
        <row r="943">
          <cell r="A943" t="str">
            <v>Оборачиваемость активов</v>
          </cell>
          <cell r="B943" t="str">
            <v>Assets turnover rate</v>
          </cell>
          <cell r="D943" t="str">
            <v>разы</v>
          </cell>
          <cell r="E943" t="str">
            <v>on_end</v>
          </cell>
          <cell r="F943" t="str">
            <v>-</v>
          </cell>
          <cell r="G943">
            <v>0</v>
          </cell>
          <cell r="H943">
            <v>0.3005810964400803</v>
          </cell>
          <cell r="I943">
            <v>0.3233072570681597</v>
          </cell>
          <cell r="J943">
            <v>0.3481752219107079</v>
          </cell>
          <cell r="K943">
            <v>0.3635058745293725</v>
          </cell>
          <cell r="L943">
            <v>0.3709580188566498</v>
          </cell>
          <cell r="M943">
            <v>0.364499973377061</v>
          </cell>
          <cell r="N943">
            <v>0.3554821783932291</v>
          </cell>
          <cell r="O943">
            <v>0.34483847222261493</v>
          </cell>
          <cell r="P943">
            <v>0.3332763615405335</v>
          </cell>
          <cell r="Q943">
            <v>0.3213065573885911</v>
          </cell>
          <cell r="R943">
            <v>0.3111920661073322</v>
          </cell>
          <cell r="S943">
            <v>0.3008063212930471</v>
          </cell>
          <cell r="T943">
            <v>0.29041066775047575</v>
          </cell>
          <cell r="U943">
            <v>0.28018149607937337</v>
          </cell>
          <cell r="V943">
            <v>0.2571244905736065</v>
          </cell>
          <cell r="W943">
            <v>0.23766712542212332</v>
          </cell>
          <cell r="X943">
            <v>0.22100820715364236</v>
          </cell>
          <cell r="Y943">
            <v>0.20658647040495562</v>
          </cell>
          <cell r="Z943">
            <v>0.19398149284241853</v>
          </cell>
          <cell r="AA943">
            <v>0.18287205157969857</v>
          </cell>
          <cell r="AB943">
            <v>0.17300849770717314</v>
          </cell>
          <cell r="AC943">
            <v>0.16419387579641664</v>
          </cell>
          <cell r="AD943">
            <v>0.15627072059993038</v>
          </cell>
          <cell r="AE943">
            <v>0.14911163440406558</v>
          </cell>
          <cell r="AF943">
            <v>0.14261243958652675</v>
          </cell>
          <cell r="AG943">
            <v>0.13668712105472383</v>
          </cell>
          <cell r="AH943">
            <v>0.13126403551745022</v>
          </cell>
          <cell r="AI943">
            <v>0.12623457389285642</v>
          </cell>
          <cell r="AJ943">
            <v>0.12155962720578914</v>
          </cell>
        </row>
        <row r="944">
          <cell r="A944" t="str">
            <v>Оборачиваемость собственного капитала</v>
          </cell>
          <cell r="B944" t="str">
            <v>Invested capital turnover rate</v>
          </cell>
          <cell r="D944" t="str">
            <v>разы</v>
          </cell>
          <cell r="E944" t="str">
            <v>on_end</v>
          </cell>
          <cell r="F944" t="str">
            <v>-</v>
          </cell>
          <cell r="G944">
            <v>0</v>
          </cell>
          <cell r="H944">
            <v>0.3011325142771109</v>
          </cell>
          <cell r="I944">
            <v>0.32448190483773975</v>
          </cell>
          <cell r="J944">
            <v>0.34953357354346726</v>
          </cell>
          <cell r="K944">
            <v>0.3650294266232066</v>
          </cell>
          <cell r="L944">
            <v>0.3725816426512326</v>
          </cell>
          <cell r="M944">
            <v>0.3661205470694953</v>
          </cell>
          <cell r="N944">
            <v>0.3570568342039209</v>
          </cell>
          <cell r="O944">
            <v>0.34634675772130497</v>
          </cell>
          <cell r="P944">
            <v>0.3347064557586762</v>
          </cell>
          <cell r="Q944">
            <v>0.32265287110762186</v>
          </cell>
          <cell r="R944">
            <v>0.31246369438641075</v>
          </cell>
          <cell r="S944">
            <v>0.30200403890533545</v>
          </cell>
          <cell r="T944">
            <v>0.29153479431882484</v>
          </cell>
          <cell r="U944">
            <v>0.28123414362475285</v>
          </cell>
          <cell r="V944">
            <v>0.2580351961687761</v>
          </cell>
          <cell r="W944">
            <v>0.23844130578122918</v>
          </cell>
          <cell r="X944">
            <v>0.221674119938025</v>
          </cell>
          <cell r="Y944">
            <v>0.20716516839652976</v>
          </cell>
          <cell r="Z944">
            <v>0.19448890678321373</v>
          </cell>
          <cell r="AA944">
            <v>0.18332045747715126</v>
          </cell>
          <cell r="AB944">
            <v>0.1734075072696686</v>
          </cell>
          <cell r="AC944">
            <v>0.1645511214639911</v>
          </cell>
          <cell r="AD944">
            <v>0.15659233963493618</v>
          </cell>
          <cell r="AE944">
            <v>0.14940261758164025</v>
          </cell>
          <cell r="AF944">
            <v>0.1428768866872664</v>
          </cell>
          <cell r="AG944">
            <v>0.13692843097310145</v>
          </cell>
          <cell r="AH944">
            <v>0.13148504970313632</v>
          </cell>
          <cell r="AI944">
            <v>0.12643945001796184</v>
          </cell>
          <cell r="AJ944">
            <v>0.12175017561510404</v>
          </cell>
        </row>
        <row r="945">
          <cell r="A945" t="str">
            <v>Оборачиваемость постоянных активов</v>
          </cell>
          <cell r="B945" t="str">
            <v>Statutory equity turnover rate</v>
          </cell>
          <cell r="D945" t="str">
            <v>разы</v>
          </cell>
          <cell r="E945" t="str">
            <v>on_end</v>
          </cell>
          <cell r="F945" t="str">
            <v>-</v>
          </cell>
          <cell r="G945">
            <v>0</v>
          </cell>
          <cell r="H945">
            <v>1.4485395862900772</v>
          </cell>
          <cell r="I945">
            <v>1.7516998613181605</v>
          </cell>
          <cell r="J945">
            <v>2.137943384737915</v>
          </cell>
          <cell r="K945">
            <v>2.557020935421382</v>
          </cell>
          <cell r="L945">
            <v>3.013305131276506</v>
          </cell>
          <cell r="M945">
            <v>3.4362267642948194</v>
          </cell>
          <cell r="N945">
            <v>3.9003547183708758</v>
          </cell>
          <cell r="O945">
            <v>4.41201965321043</v>
          </cell>
          <cell r="P945">
            <v>4.978919023029019</v>
          </cell>
          <cell r="Q945">
            <v>5.610506987090588</v>
          </cell>
          <cell r="R945">
            <v>6.358872295328978</v>
          </cell>
          <cell r="S945">
            <v>7.203632786873965</v>
          </cell>
          <cell r="T945">
            <v>8.16469518795259</v>
          </cell>
          <cell r="U945">
            <v>9.26785272925063</v>
          </cell>
          <cell r="V945">
            <v>10.007681318209146</v>
          </cell>
          <cell r="W945">
            <v>10.875874070316387</v>
          </cell>
          <cell r="X945">
            <v>11.909012300359276</v>
          </cell>
          <cell r="Y945">
            <v>13.159036286496276</v>
          </cell>
          <cell r="Z945">
            <v>14.7022513185101</v>
          </cell>
          <cell r="AA945">
            <v>16.655512714506052</v>
          </cell>
          <cell r="AB945">
            <v>19.20728898960635</v>
          </cell>
          <cell r="AC945">
            <v>22.68244641070871</v>
          </cell>
          <cell r="AD945">
            <v>27.692897259641363</v>
          </cell>
          <cell r="AE945">
            <v>35.54452330260478</v>
          </cell>
          <cell r="AF945">
            <v>49.61027049187074</v>
          </cell>
          <cell r="AG945">
            <v>82.09841222990964</v>
          </cell>
          <cell r="AH945">
            <v>237.8748867174255</v>
          </cell>
          <cell r="AI945">
            <v>9277.120581974108</v>
          </cell>
          <cell r="AJ945" t="str">
            <v>-</v>
          </cell>
        </row>
        <row r="947">
          <cell r="A947" t="str">
            <v>Коэффициент общей ликвидности</v>
          </cell>
          <cell r="B947" t="str">
            <v>Current assets ratio</v>
          </cell>
          <cell r="D947" t="str">
            <v>разы</v>
          </cell>
          <cell r="E947" t="str">
            <v>on_end</v>
          </cell>
          <cell r="F947" t="str">
            <v>-</v>
          </cell>
          <cell r="G947" t="str">
            <v>-</v>
          </cell>
          <cell r="H947">
            <v>228.06595524978465</v>
          </cell>
          <cell r="I947">
            <v>222.78314754820164</v>
          </cell>
          <cell r="J947">
            <v>209.25256739525534</v>
          </cell>
          <cell r="K947">
            <v>202.34285428005754</v>
          </cell>
          <cell r="L947">
            <v>200.2479849068033</v>
          </cell>
          <cell r="M947">
            <v>203.49165411279571</v>
          </cell>
          <cell r="N947">
            <v>208.44371316973454</v>
          </cell>
          <cell r="O947">
            <v>214.64999632009912</v>
          </cell>
          <cell r="P947">
            <v>221.8207540797135</v>
          </cell>
          <cell r="Q947">
            <v>229.74974077484273</v>
          </cell>
          <cell r="R947">
            <v>237.36098717601234</v>
          </cell>
          <cell r="S947">
            <v>245.59993258345025</v>
          </cell>
          <cell r="T947">
            <v>254.35937243053482</v>
          </cell>
          <cell r="U947">
            <v>263.54954904001517</v>
          </cell>
          <cell r="V947">
            <v>288.61869608420534</v>
          </cell>
          <cell r="W947">
            <v>313.96750001052396</v>
          </cell>
          <cell r="X947">
            <v>339.5177898762502</v>
          </cell>
          <cell r="Y947">
            <v>365.2799413447766</v>
          </cell>
          <cell r="Z947">
            <v>391.2650175356232</v>
          </cell>
          <cell r="AA947">
            <v>417.48482159672153</v>
          </cell>
          <cell r="AB947">
            <v>443.9519541025099</v>
          </cell>
          <cell r="AC947">
            <v>470.67987580504456</v>
          </cell>
          <cell r="AD947">
            <v>497.6829763323538</v>
          </cell>
          <cell r="AE947">
            <v>524.9766495050123</v>
          </cell>
          <cell r="AF947">
            <v>552.5773760299963</v>
          </cell>
          <cell r="AG947">
            <v>580.5028144322079</v>
          </cell>
          <cell r="AH947">
            <v>608.7719012008276</v>
          </cell>
          <cell r="AI947">
            <v>625.4158502939208</v>
          </cell>
          <cell r="AJ947">
            <v>652.5519084220059</v>
          </cell>
        </row>
        <row r="948">
          <cell r="A948" t="str">
            <v>Коэффициент срочной ликвидности</v>
          </cell>
          <cell r="B948" t="str">
            <v>Acid-test ratio / Quick (assets) ratio</v>
          </cell>
          <cell r="D948" t="str">
            <v>разы</v>
          </cell>
          <cell r="E948" t="str">
            <v>on_end</v>
          </cell>
          <cell r="F948" t="str">
            <v>-</v>
          </cell>
          <cell r="G948" t="str">
            <v>-</v>
          </cell>
          <cell r="H948">
            <v>214.0211456966221</v>
          </cell>
          <cell r="I948">
            <v>206.9237866570852</v>
          </cell>
          <cell r="J948">
            <v>192.71275030272074</v>
          </cell>
          <cell r="K948">
            <v>185.11789853209643</v>
          </cell>
          <cell r="L948">
            <v>182.28430656387795</v>
          </cell>
          <cell r="M948">
            <v>184.74529586897827</v>
          </cell>
          <cell r="N948">
            <v>189.0474344239035</v>
          </cell>
          <cell r="O948">
            <v>194.70444831169976</v>
          </cell>
          <cell r="P948">
            <v>201.4022956747505</v>
          </cell>
          <cell r="Q948">
            <v>208.9174033383385</v>
          </cell>
          <cell r="R948">
            <v>216.2046844443141</v>
          </cell>
          <cell r="S948">
            <v>224.1143443500036</v>
          </cell>
          <cell r="T948">
            <v>232.5385793431784</v>
          </cell>
          <cell r="U948">
            <v>241.38785576185182</v>
          </cell>
          <cell r="V948">
            <v>264.75325559543813</v>
          </cell>
          <cell r="W948">
            <v>288.34792824154545</v>
          </cell>
          <cell r="X948">
            <v>312.0990784113806</v>
          </cell>
          <cell r="Y948">
            <v>336.0149148877009</v>
          </cell>
          <cell r="Z948">
            <v>360.1042024984882</v>
          </cell>
          <cell r="AA948">
            <v>384.3763047644332</v>
          </cell>
          <cell r="AB948">
            <v>408.84123045721157</v>
          </cell>
          <cell r="AC948">
            <v>433.50968449560065</v>
          </cell>
          <cell r="AD948">
            <v>458.3931236607748</v>
          </cell>
          <cell r="AE948">
            <v>483.5038176742881</v>
          </cell>
          <cell r="AF948">
            <v>508.85491625360464</v>
          </cell>
          <cell r="AG948">
            <v>534.460522842113</v>
          </cell>
          <cell r="AH948">
            <v>560.3357758051574</v>
          </cell>
          <cell r="AI948">
            <v>575.4549673736587</v>
          </cell>
          <cell r="AJ948">
            <v>600.1789677251854</v>
          </cell>
        </row>
        <row r="949">
          <cell r="A949" t="str">
            <v>Коэффициент абсолютной ликвидности</v>
          </cell>
          <cell r="B949" t="str">
            <v>Liquid assets ratio</v>
          </cell>
          <cell r="D949" t="str">
            <v>разы</v>
          </cell>
          <cell r="E949" t="str">
            <v>on_end</v>
          </cell>
          <cell r="F949" t="str">
            <v>-</v>
          </cell>
          <cell r="G949" t="str">
            <v>-</v>
          </cell>
          <cell r="H949">
            <v>207.18159989029147</v>
          </cell>
          <cell r="I949">
            <v>199.93502771057754</v>
          </cell>
          <cell r="J949">
            <v>185.85691867017385</v>
          </cell>
          <cell r="K949">
            <v>178.38067259585523</v>
          </cell>
          <cell r="L949">
            <v>175.63498449365372</v>
          </cell>
          <cell r="M949">
            <v>178.22802163468626</v>
          </cell>
          <cell r="N949">
            <v>182.63626847536634</v>
          </cell>
          <cell r="O949">
            <v>188.38081756328808</v>
          </cell>
          <cell r="P949">
            <v>195.1519255400947</v>
          </cell>
          <cell r="Q949">
            <v>202.72907981317476</v>
          </cell>
          <cell r="R949">
            <v>210.05695170788894</v>
          </cell>
          <cell r="S949">
            <v>218.00140729472704</v>
          </cell>
          <cell r="T949">
            <v>226.455482514221</v>
          </cell>
          <cell r="U949">
            <v>235.33049667091603</v>
          </cell>
          <cell r="V949">
            <v>258.6684714232607</v>
          </cell>
          <cell r="W949">
            <v>282.232710240967</v>
          </cell>
          <cell r="X949">
            <v>305.9523997891045</v>
          </cell>
          <cell r="Y949">
            <v>329.83569993426505</v>
          </cell>
          <cell r="Z949">
            <v>353.89132365234263</v>
          </cell>
          <cell r="AA949">
            <v>378.12857945460223</v>
          </cell>
          <cell r="AB949">
            <v>402.5574177041147</v>
          </cell>
          <cell r="AC949">
            <v>427.1884812473723</v>
          </cell>
          <cell r="AD949">
            <v>452.03316083989984</v>
          </cell>
          <cell r="AE949">
            <v>477.10365590652646</v>
          </cell>
          <cell r="AF949">
            <v>502.41304124795715</v>
          </cell>
          <cell r="AG949">
            <v>527.9753403869317</v>
          </cell>
          <cell r="AH949">
            <v>553.8056063413593</v>
          </cell>
          <cell r="AI949">
            <v>569.000403390896</v>
          </cell>
          <cell r="AJ949">
            <v>593.6884220660021</v>
          </cell>
        </row>
        <row r="951">
          <cell r="A951" t="str">
            <v>Коэффициент общей платежеспособности</v>
          </cell>
          <cell r="B951" t="str">
            <v>Solvency ratio</v>
          </cell>
          <cell r="D951" t="str">
            <v>%</v>
          </cell>
          <cell r="E951" t="str">
            <v>on_end</v>
          </cell>
          <cell r="F951">
            <v>1</v>
          </cell>
          <cell r="G951">
            <v>1</v>
          </cell>
          <cell r="H951">
            <v>0.9964746302438061</v>
          </cell>
          <cell r="I951">
            <v>0.9962924762013746</v>
          </cell>
          <cell r="J951">
            <v>0.9959505809797874</v>
          </cell>
          <cell r="K951">
            <v>0.995713461228052</v>
          </cell>
          <cell r="L951">
            <v>0.995577962487348</v>
          </cell>
          <cell r="M951">
            <v>0.9955697847490633</v>
          </cell>
          <cell r="N951">
            <v>0.9956080273819128</v>
          </cell>
          <cell r="O951">
            <v>0.9956786446796126</v>
          </cell>
          <cell r="P951">
            <v>0.9957712876355186</v>
          </cell>
          <cell r="Q951">
            <v>0.9958781246538808</v>
          </cell>
          <cell r="R951">
            <v>0.9959776607760402</v>
          </cell>
          <cell r="S951">
            <v>0.9960854178743425</v>
          </cell>
          <cell r="T951">
            <v>0.996197606384318</v>
          </cell>
          <cell r="U951">
            <v>0.996311361026664</v>
          </cell>
          <cell r="V951">
            <v>0.9966173203259984</v>
          </cell>
          <cell r="W951">
            <v>0.9968791167580573</v>
          </cell>
          <cell r="X951">
            <v>0.997104950628084</v>
          </cell>
          <cell r="Y951">
            <v>0.9973018124681645</v>
          </cell>
          <cell r="Z951">
            <v>0.9974749938054784</v>
          </cell>
          <cell r="AA951">
            <v>0.9976285738759912</v>
          </cell>
          <cell r="AB951">
            <v>0.9977657480959116</v>
          </cell>
          <cell r="AC951">
            <v>0.9978890552289781</v>
          </cell>
          <cell r="AD951">
            <v>0.9980005379183944</v>
          </cell>
          <cell r="AE951">
            <v>0.9981018583247915</v>
          </cell>
          <cell r="AF951">
            <v>0.9981943828656414</v>
          </cell>
          <cell r="AG951">
            <v>0.9982792452778877</v>
          </cell>
          <cell r="AH951">
            <v>0.9983573942087601</v>
          </cell>
          <cell r="AI951">
            <v>0.998401063868896</v>
          </cell>
          <cell r="AJ951">
            <v>0.99846755486101</v>
          </cell>
        </row>
        <row r="952">
          <cell r="A952" t="str">
            <v>Коэффициент автономии</v>
          </cell>
          <cell r="B952" t="str">
            <v>Capital dearing (capital leverage)</v>
          </cell>
          <cell r="D952" t="str">
            <v>%</v>
          </cell>
          <cell r="E952" t="str">
            <v>,on_end</v>
          </cell>
          <cell r="F952" t="str">
            <v>-</v>
          </cell>
          <cell r="G952" t="str">
            <v>-</v>
          </cell>
          <cell r="H952" t="str">
            <v>-</v>
          </cell>
          <cell r="I952" t="str">
            <v>-</v>
          </cell>
          <cell r="J952" t="str">
            <v>-</v>
          </cell>
          <cell r="K952" t="str">
            <v>-</v>
          </cell>
          <cell r="L952" t="str">
            <v>-</v>
          </cell>
          <cell r="M952" t="str">
            <v>-</v>
          </cell>
          <cell r="N952" t="str">
            <v>-</v>
          </cell>
          <cell r="O952" t="str">
            <v>-</v>
          </cell>
          <cell r="P952" t="str">
            <v>-</v>
          </cell>
          <cell r="Q952" t="str">
            <v>-</v>
          </cell>
          <cell r="R952" t="str">
            <v>-</v>
          </cell>
          <cell r="S952" t="str">
            <v>-</v>
          </cell>
          <cell r="T952" t="str">
            <v>-</v>
          </cell>
          <cell r="U952" t="str">
            <v>-</v>
          </cell>
          <cell r="V952" t="str">
            <v>-</v>
          </cell>
          <cell r="W952" t="str">
            <v>-</v>
          </cell>
          <cell r="X952" t="str">
            <v>-</v>
          </cell>
          <cell r="Y952" t="str">
            <v>-</v>
          </cell>
          <cell r="Z952" t="str">
            <v>-</v>
          </cell>
          <cell r="AA952" t="str">
            <v>-</v>
          </cell>
          <cell r="AB952" t="str">
            <v>-</v>
          </cell>
          <cell r="AC952" t="str">
            <v>-</v>
          </cell>
          <cell r="AD952" t="str">
            <v>-</v>
          </cell>
          <cell r="AE952" t="str">
            <v>-</v>
          </cell>
          <cell r="AF952" t="str">
            <v>-</v>
          </cell>
          <cell r="AG952" t="str">
            <v>-</v>
          </cell>
          <cell r="AH952" t="str">
            <v>-</v>
          </cell>
          <cell r="AI952" t="str">
            <v>-</v>
          </cell>
          <cell r="AJ952" t="str">
            <v>-</v>
          </cell>
        </row>
        <row r="953">
          <cell r="A953" t="str">
            <v>Доля долгосрочных кредитов в валюте баланса</v>
          </cell>
          <cell r="B953" t="str">
            <v>Long-term loans in total liabilities</v>
          </cell>
          <cell r="D953" t="str">
            <v>%</v>
          </cell>
          <cell r="E953" t="str">
            <v>,on_end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</row>
        <row r="954">
          <cell r="A954" t="str">
            <v>Общий коэффициент покрытия долга</v>
          </cell>
          <cell r="B954" t="str">
            <v>Debt-service coverage</v>
          </cell>
          <cell r="D954" t="str">
            <v>разы</v>
          </cell>
          <cell r="E954" t="str">
            <v>,on_end</v>
          </cell>
          <cell r="F954" t="str">
            <v>-</v>
          </cell>
          <cell r="G954" t="str">
            <v>-</v>
          </cell>
          <cell r="H954" t="str">
            <v>-</v>
          </cell>
          <cell r="I954" t="str">
            <v>-</v>
          </cell>
          <cell r="J954" t="str">
            <v>-</v>
          </cell>
          <cell r="K954" t="str">
            <v>-</v>
          </cell>
          <cell r="L954" t="str">
            <v>-</v>
          </cell>
          <cell r="M954" t="str">
            <v>-</v>
          </cell>
          <cell r="N954" t="str">
            <v>-</v>
          </cell>
          <cell r="O954" t="str">
            <v>-</v>
          </cell>
          <cell r="P954" t="str">
            <v>-</v>
          </cell>
          <cell r="Q954" t="str">
            <v>-</v>
          </cell>
          <cell r="R954" t="str">
            <v>-</v>
          </cell>
          <cell r="S954" t="str">
            <v>-</v>
          </cell>
          <cell r="T954" t="str">
            <v>-</v>
          </cell>
          <cell r="U954" t="str">
            <v>-</v>
          </cell>
          <cell r="V954" t="str">
            <v>-</v>
          </cell>
          <cell r="W954" t="str">
            <v>-</v>
          </cell>
          <cell r="X954" t="str">
            <v>-</v>
          </cell>
          <cell r="Y954" t="str">
            <v>-</v>
          </cell>
          <cell r="Z954" t="str">
            <v>-</v>
          </cell>
          <cell r="AA954" t="str">
            <v>-</v>
          </cell>
          <cell r="AB954" t="str">
            <v>-</v>
          </cell>
          <cell r="AC954" t="str">
            <v>-</v>
          </cell>
          <cell r="AD954" t="str">
            <v>-</v>
          </cell>
          <cell r="AE954" t="str">
            <v>-</v>
          </cell>
          <cell r="AF954" t="str">
            <v>-</v>
          </cell>
          <cell r="AG954" t="str">
            <v>-</v>
          </cell>
          <cell r="AH954" t="str">
            <v>-</v>
          </cell>
          <cell r="AI954" t="str">
            <v>-</v>
          </cell>
          <cell r="AJ954" t="str">
            <v>-</v>
          </cell>
        </row>
        <row r="958">
          <cell r="A958" t="str">
            <v>Цт=максимальные Постоянные цены</v>
          </cell>
          <cell r="B958" t="str">
            <v>Цт=максимальные Постоянные цены</v>
          </cell>
          <cell r="AL958" t="str">
            <v>АЛЬТ-Инвест™ 3.0</v>
          </cell>
        </row>
        <row r="959">
          <cell r="A959" t="str">
            <v>ЭФФЕКТИВНОСТЬ ПОЛНЫХ ИНВЕСТИЦИОННЫХ ЗАТРАТ</v>
          </cell>
          <cell r="B959" t="str">
            <v>EFFICIENCY OF TOTAL INVESTMENT COSTS</v>
          </cell>
          <cell r="F959" t="str">
            <v>"0"</v>
          </cell>
          <cell r="G959" t="str">
            <v>1 год</v>
          </cell>
          <cell r="H959" t="str">
            <v>2 год</v>
          </cell>
          <cell r="I959" t="str">
            <v>3 год</v>
          </cell>
          <cell r="J959" t="str">
            <v>4 год</v>
          </cell>
          <cell r="K959" t="str">
            <v>5 год</v>
          </cell>
          <cell r="L959" t="str">
            <v>6 год</v>
          </cell>
          <cell r="M959" t="str">
            <v>7 год</v>
          </cell>
          <cell r="N959" t="str">
            <v>8 год</v>
          </cell>
          <cell r="O959" t="str">
            <v>9 год</v>
          </cell>
          <cell r="P959" t="str">
            <v>10 год</v>
          </cell>
          <cell r="Q959" t="str">
            <v>11 год</v>
          </cell>
          <cell r="R959" t="str">
            <v>12 год</v>
          </cell>
          <cell r="S959" t="str">
            <v>13 год</v>
          </cell>
          <cell r="T959" t="str">
            <v>14 год</v>
          </cell>
          <cell r="U959" t="str">
            <v>15 год</v>
          </cell>
          <cell r="V959" t="str">
            <v>16 год</v>
          </cell>
          <cell r="W959" t="str">
            <v>17 год</v>
          </cell>
          <cell r="X959" t="str">
            <v>18 год</v>
          </cell>
          <cell r="Y959" t="str">
            <v>19 год</v>
          </cell>
          <cell r="Z959" t="str">
            <v>20 год</v>
          </cell>
          <cell r="AA959" t="str">
            <v>21 год</v>
          </cell>
          <cell r="AB959" t="str">
            <v>22 год</v>
          </cell>
          <cell r="AC959" t="str">
            <v>23 год</v>
          </cell>
          <cell r="AD959" t="str">
            <v>24 год</v>
          </cell>
          <cell r="AE959" t="str">
            <v>25 год</v>
          </cell>
          <cell r="AF959" t="str">
            <v>26 год</v>
          </cell>
          <cell r="AG959" t="str">
            <v>27 год</v>
          </cell>
          <cell r="AH959" t="str">
            <v>28 год</v>
          </cell>
          <cell r="AI959" t="str">
            <v>29 год</v>
          </cell>
          <cell r="AJ959" t="str">
            <v>30 год</v>
          </cell>
          <cell r="AL959" t="str">
            <v>ВСЕГО</v>
          </cell>
        </row>
        <row r="961">
          <cell r="A961" t="str">
            <v> - выручка от реализации</v>
          </cell>
          <cell r="B961" t="str">
            <v> - sales revenues</v>
          </cell>
          <cell r="D961" t="str">
            <v>тыс.руб.</v>
          </cell>
          <cell r="F961">
            <v>0</v>
          </cell>
          <cell r="G961">
            <v>0</v>
          </cell>
          <cell r="H961">
            <v>168618.4120535637</v>
          </cell>
          <cell r="I961">
            <v>196221.2241071274</v>
          </cell>
          <cell r="J961">
            <v>230105.58350928724</v>
          </cell>
          <cell r="K961">
            <v>263989.9429114471</v>
          </cell>
          <cell r="L961">
            <v>297874.3023136069</v>
          </cell>
          <cell r="M961">
            <v>324602.5439709719</v>
          </cell>
          <cell r="N961">
            <v>351330.78562833695</v>
          </cell>
          <cell r="O961">
            <v>378059.02728570194</v>
          </cell>
          <cell r="P961">
            <v>404787.26894306706</v>
          </cell>
          <cell r="Q961">
            <v>431515.51060043194</v>
          </cell>
          <cell r="R961">
            <v>461169.8296141684</v>
          </cell>
          <cell r="S961">
            <v>490824.14862790494</v>
          </cell>
          <cell r="T961">
            <v>520478.4676416415</v>
          </cell>
          <cell r="U961">
            <v>550132.786655378</v>
          </cell>
          <cell r="V961">
            <v>550132.786655378</v>
          </cell>
          <cell r="W961">
            <v>550132.786655378</v>
          </cell>
          <cell r="X961">
            <v>550132.786655378</v>
          </cell>
          <cell r="Y961">
            <v>550132.786655378</v>
          </cell>
          <cell r="Z961">
            <v>550132.786655378</v>
          </cell>
          <cell r="AA961">
            <v>550132.786655378</v>
          </cell>
          <cell r="AB961">
            <v>550132.786655378</v>
          </cell>
          <cell r="AC961">
            <v>550132.786655378</v>
          </cell>
          <cell r="AD961">
            <v>550132.786655378</v>
          </cell>
          <cell r="AE961">
            <v>550132.786655378</v>
          </cell>
          <cell r="AF961">
            <v>550132.786655378</v>
          </cell>
          <cell r="AG961">
            <v>550132.786655378</v>
          </cell>
          <cell r="AH961">
            <v>550132.786655378</v>
          </cell>
          <cell r="AI961">
            <v>550132.786655378</v>
          </cell>
          <cell r="AJ961">
            <v>550132.786655378</v>
          </cell>
          <cell r="AL961">
            <v>13321701.633693298</v>
          </cell>
        </row>
        <row r="962">
          <cell r="A962" t="str">
            <v> - внереализационные поступления</v>
          </cell>
          <cell r="B962" t="str">
            <v> - gain on disposal of fixed assets</v>
          </cell>
          <cell r="D962" t="str">
            <v>тыс.руб.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L962">
            <v>0</v>
          </cell>
        </row>
        <row r="963">
          <cell r="A963" t="str">
            <v> = Итого приток средств</v>
          </cell>
          <cell r="B963" t="str">
            <v> = Cash inflows</v>
          </cell>
          <cell r="D963" t="str">
            <v>тыс.руб.</v>
          </cell>
          <cell r="F963">
            <v>0</v>
          </cell>
          <cell r="G963">
            <v>0</v>
          </cell>
          <cell r="H963">
            <v>168618.4120535637</v>
          </cell>
          <cell r="I963">
            <v>196221.2241071274</v>
          </cell>
          <cell r="J963">
            <v>230105.58350928724</v>
          </cell>
          <cell r="K963">
            <v>263989.9429114471</v>
          </cell>
          <cell r="L963">
            <v>297874.3023136069</v>
          </cell>
          <cell r="M963">
            <v>324602.5439709719</v>
          </cell>
          <cell r="N963">
            <v>351330.78562833695</v>
          </cell>
          <cell r="O963">
            <v>378059.02728570194</v>
          </cell>
          <cell r="P963">
            <v>404787.26894306706</v>
          </cell>
          <cell r="Q963">
            <v>431515.51060043194</v>
          </cell>
          <cell r="R963">
            <v>461169.8296141684</v>
          </cell>
          <cell r="S963">
            <v>490824.14862790494</v>
          </cell>
          <cell r="T963">
            <v>520478.4676416415</v>
          </cell>
          <cell r="U963">
            <v>550132.786655378</v>
          </cell>
          <cell r="V963">
            <v>550132.786655378</v>
          </cell>
          <cell r="W963">
            <v>550132.786655378</v>
          </cell>
          <cell r="X963">
            <v>550132.786655378</v>
          </cell>
          <cell r="Y963">
            <v>550132.786655378</v>
          </cell>
          <cell r="Z963">
            <v>550132.786655378</v>
          </cell>
          <cell r="AA963">
            <v>550132.786655378</v>
          </cell>
          <cell r="AB963">
            <v>550132.786655378</v>
          </cell>
          <cell r="AC963">
            <v>550132.786655378</v>
          </cell>
          <cell r="AD963">
            <v>550132.786655378</v>
          </cell>
          <cell r="AE963">
            <v>550132.786655378</v>
          </cell>
          <cell r="AF963">
            <v>550132.786655378</v>
          </cell>
          <cell r="AG963">
            <v>550132.786655378</v>
          </cell>
          <cell r="AH963">
            <v>550132.786655378</v>
          </cell>
          <cell r="AI963">
            <v>550132.786655378</v>
          </cell>
          <cell r="AJ963">
            <v>550132.786655378</v>
          </cell>
          <cell r="AL963">
            <v>13321701.633693298</v>
          </cell>
        </row>
        <row r="965">
          <cell r="A965" t="str">
            <v> - полные инвестиционные затраты вкл. существующие ПА</v>
          </cell>
          <cell r="B965" t="str">
            <v> - total investment costs incl. existing Fixed Assets</v>
          </cell>
          <cell r="D965" t="str">
            <v>тыс.руб.</v>
          </cell>
          <cell r="F965">
            <v>0</v>
          </cell>
          <cell r="G965">
            <v>-141344.3025255</v>
          </cell>
          <cell r="H965">
            <v>-20289.810539981027</v>
          </cell>
          <cell r="I965">
            <v>-10438.614632602876</v>
          </cell>
          <cell r="J965">
            <v>-11644.66329954307</v>
          </cell>
          <cell r="K965">
            <v>-12427.84830585598</v>
          </cell>
          <cell r="L965">
            <v>-13174.892688215969</v>
          </cell>
          <cell r="M965">
            <v>-12627.645136837826</v>
          </cell>
          <cell r="N965">
            <v>-12653.029455890046</v>
          </cell>
          <cell r="O965">
            <v>-12681.882870215026</v>
          </cell>
          <cell r="P965">
            <v>-12714.965560232198</v>
          </cell>
          <cell r="Q965">
            <v>-12786.01521859226</v>
          </cell>
          <cell r="R965">
            <v>-13311.68623319854</v>
          </cell>
          <cell r="S965">
            <v>-13624.908415515005</v>
          </cell>
          <cell r="T965">
            <v>-13943.14939222761</v>
          </cell>
          <cell r="U965">
            <v>-14033.677406563136</v>
          </cell>
          <cell r="V965">
            <v>-12207.415373688942</v>
          </cell>
          <cell r="W965">
            <v>-12388.534279843501</v>
          </cell>
          <cell r="X965">
            <v>-12572.47579684816</v>
          </cell>
          <cell r="Y965">
            <v>-12761.935559362835</v>
          </cell>
          <cell r="Z965">
            <v>-12957.079114753134</v>
          </cell>
          <cell r="AA965">
            <v>-13158.076976804936</v>
          </cell>
          <cell r="AB965">
            <v>-13365.104774718428</v>
          </cell>
          <cell r="AC965">
            <v>-13578.343406569307</v>
          </cell>
          <cell r="AD965">
            <v>-13797.97919737562</v>
          </cell>
          <cell r="AE965">
            <v>-14024.204061906212</v>
          </cell>
          <cell r="AF965">
            <v>-14257.215672372753</v>
          </cell>
          <cell r="AG965">
            <v>-14497.21763115318</v>
          </cell>
          <cell r="AH965">
            <v>-14744.419648697116</v>
          </cell>
          <cell r="AI965">
            <v>-14866.893718187253</v>
          </cell>
          <cell r="AJ965">
            <v>-15249.511447114557</v>
          </cell>
          <cell r="AL965">
            <v>-532123.4983403664</v>
          </cell>
        </row>
        <row r="966">
          <cell r="A966" t="str">
            <v> - эксплуатационные расходы</v>
          </cell>
          <cell r="B966" t="str">
            <v> - operating costs</v>
          </cell>
          <cell r="D966" t="str">
            <v>тыс.руб.</v>
          </cell>
          <cell r="F966">
            <v>0</v>
          </cell>
          <cell r="G966">
            <v>0</v>
          </cell>
          <cell r="H966">
            <v>-104586.82019999999</v>
          </cell>
          <cell r="I966">
            <v>-123126.44256</v>
          </cell>
          <cell r="J966">
            <v>-141866.83164</v>
          </cell>
          <cell r="K966">
            <v>-160253.22072</v>
          </cell>
          <cell r="L966">
            <v>-178657.3098</v>
          </cell>
          <cell r="M966">
            <v>-191523.212064</v>
          </cell>
          <cell r="N966">
            <v>-204410.81098799998</v>
          </cell>
          <cell r="O966">
            <v>-217320.75747179997</v>
          </cell>
          <cell r="P966">
            <v>-230253.72194219395</v>
          </cell>
          <cell r="Q966">
            <v>-243210.3949387798</v>
          </cell>
          <cell r="R966">
            <v>-258242.31706934317</v>
          </cell>
          <cell r="S966">
            <v>-273299.3915753435</v>
          </cell>
          <cell r="T966">
            <v>-288382.37302804383</v>
          </cell>
          <cell r="U966">
            <v>-303492.0386358452</v>
          </cell>
          <cell r="V966">
            <v>-304435.6793074005</v>
          </cell>
          <cell r="W966">
            <v>-305407.6291991025</v>
          </cell>
          <cell r="X966">
            <v>-306408.7375875556</v>
          </cell>
          <cell r="Y966">
            <v>-307439.8792276623</v>
          </cell>
          <cell r="Z966">
            <v>-308501.95511697215</v>
          </cell>
          <cell r="AA966">
            <v>-309595.8932829613</v>
          </cell>
          <cell r="AB966">
            <v>-310722.6495939301</v>
          </cell>
          <cell r="AC966">
            <v>-311883.208594228</v>
          </cell>
          <cell r="AD966">
            <v>-313078.5843645349</v>
          </cell>
          <cell r="AE966">
            <v>-314309.82140795095</v>
          </cell>
          <cell r="AF966">
            <v>-315577.9955626695</v>
          </cell>
          <cell r="AG966">
            <v>-316884.21494202956</v>
          </cell>
          <cell r="AH966">
            <v>-318229.62090277043</v>
          </cell>
          <cell r="AI966">
            <v>-319615.3890423335</v>
          </cell>
          <cell r="AJ966">
            <v>-321042.73022608354</v>
          </cell>
          <cell r="AL966">
            <v>-7601759.630991534</v>
          </cell>
        </row>
        <row r="967">
          <cell r="A967" t="str">
            <v> - лизинговые платежи (начисленные)</v>
          </cell>
          <cell r="B967" t="str">
            <v> - leasing payments (charged)</v>
          </cell>
          <cell r="D967" t="str">
            <v>тыс.руб.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L967">
            <v>0</v>
          </cell>
        </row>
        <row r="968">
          <cell r="A968" t="str">
            <v> - коммерческие расходы</v>
          </cell>
          <cell r="B968" t="str">
            <v> - marketing costs</v>
          </cell>
          <cell r="D968" t="str">
            <v>тыс.руб.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L968">
            <v>0</v>
          </cell>
        </row>
        <row r="969">
          <cell r="A969" t="str">
            <v> - прочие текущие затраты</v>
          </cell>
          <cell r="B969" t="str">
            <v> - other current expenditures</v>
          </cell>
          <cell r="D969" t="str">
            <v>тыс.руб.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L969">
            <v>0</v>
          </cell>
        </row>
        <row r="970">
          <cell r="A970" t="str">
            <v> - налоговые выплаты</v>
          </cell>
          <cell r="B970" t="str">
            <v> - tax payments</v>
          </cell>
          <cell r="D970" t="str">
            <v>тыс.руб.</v>
          </cell>
          <cell r="F970">
            <v>0</v>
          </cell>
          <cell r="G970">
            <v>0</v>
          </cell>
          <cell r="H970">
            <v>-18121.818574263172</v>
          </cell>
          <cell r="I970">
            <v>-20680.0061163516</v>
          </cell>
          <cell r="J970">
            <v>-24676.710688001876</v>
          </cell>
          <cell r="K970">
            <v>-28762.415868348922</v>
          </cell>
          <cell r="L970">
            <v>-32843.873048695976</v>
          </cell>
          <cell r="M970">
            <v>-36450.35108278377</v>
          </cell>
          <cell r="N970">
            <v>-40046.52593741374</v>
          </cell>
          <cell r="O970">
            <v>-43637.3373776917</v>
          </cell>
          <cell r="P970">
            <v>-47222.62450118713</v>
          </cell>
          <cell r="Q970">
            <v>-50802.22157839645</v>
          </cell>
          <cell r="R970">
            <v>-54621.444369600285</v>
          </cell>
          <cell r="S970">
            <v>-58436.700249456575</v>
          </cell>
          <cell r="T970">
            <v>-62245.73846210486</v>
          </cell>
          <cell r="U970">
            <v>-66048.37247752889</v>
          </cell>
          <cell r="V970">
            <v>-65775.4774050971</v>
          </cell>
          <cell r="W970">
            <v>-65475.508847328616</v>
          </cell>
          <cell r="X970">
            <v>-65168.54225033987</v>
          </cell>
          <cell r="Y970">
            <v>-64854.36767295428</v>
          </cell>
          <cell r="Z970">
            <v>-64532.76887575991</v>
          </cell>
          <cell r="AA970">
            <v>-64203.52313216252</v>
          </cell>
          <cell r="AB970">
            <v>-63866.40103377</v>
          </cell>
          <cell r="AC970">
            <v>-63521.1662899385</v>
          </cell>
          <cell r="AD970">
            <v>-63167.575521304854</v>
          </cell>
          <cell r="AE970">
            <v>-62805.378047125</v>
          </cell>
          <cell r="AF970">
            <v>-62434.31566623255</v>
          </cell>
          <cell r="AG970">
            <v>-62054.122431426134</v>
          </cell>
          <cell r="AH970">
            <v>-61664.52441708832</v>
          </cell>
          <cell r="AI970">
            <v>-62322.391548473155</v>
          </cell>
          <cell r="AJ970">
            <v>-62007.39228113317</v>
          </cell>
          <cell r="AL970">
            <v>-1538449.5957519587</v>
          </cell>
        </row>
        <row r="971">
          <cell r="A971" t="str">
            <v> = Итого отток средств</v>
          </cell>
          <cell r="B971" t="str">
            <v> = Cash outflows</v>
          </cell>
          <cell r="D971" t="str">
            <v>тыс.руб.</v>
          </cell>
          <cell r="F971">
            <v>0</v>
          </cell>
          <cell r="G971">
            <v>-141344.3025255</v>
          </cell>
          <cell r="H971">
            <v>-142998.44931424418</v>
          </cell>
          <cell r="I971">
            <v>-154245.06330895447</v>
          </cell>
          <cell r="J971">
            <v>-178188.20562754496</v>
          </cell>
          <cell r="K971">
            <v>-201443.48489420488</v>
          </cell>
          <cell r="L971">
            <v>-224676.07553691193</v>
          </cell>
          <cell r="M971">
            <v>-240601.20828362158</v>
          </cell>
          <cell r="N971">
            <v>-257110.36638130376</v>
          </cell>
          <cell r="O971">
            <v>-273639.9777197067</v>
          </cell>
          <cell r="P971">
            <v>-290191.3120036133</v>
          </cell>
          <cell r="Q971">
            <v>-306798.6317357685</v>
          </cell>
          <cell r="R971">
            <v>-326175.447672142</v>
          </cell>
          <cell r="S971">
            <v>-345361.0002403151</v>
          </cell>
          <cell r="T971">
            <v>-364571.2608823763</v>
          </cell>
          <cell r="U971">
            <v>-383574.0885199372</v>
          </cell>
          <cell r="V971">
            <v>-382418.5720861865</v>
          </cell>
          <cell r="W971">
            <v>-383271.6723262746</v>
          </cell>
          <cell r="X971">
            <v>-384149.75563474366</v>
          </cell>
          <cell r="Y971">
            <v>-385056.1824599794</v>
          </cell>
          <cell r="Z971">
            <v>-385991.8031074852</v>
          </cell>
          <cell r="AA971">
            <v>-386957.4933919287</v>
          </cell>
          <cell r="AB971">
            <v>-387954.1554024185</v>
          </cell>
          <cell r="AC971">
            <v>-388982.71829073585</v>
          </cell>
          <cell r="AD971">
            <v>-390044.1390832153</v>
          </cell>
          <cell r="AE971">
            <v>-391139.40351698216</v>
          </cell>
          <cell r="AF971">
            <v>-392269.52690127474</v>
          </cell>
          <cell r="AG971">
            <v>-393435.5550046089</v>
          </cell>
          <cell r="AH971">
            <v>-394638.5649685559</v>
          </cell>
          <cell r="AI971">
            <v>-396804.6743089939</v>
          </cell>
          <cell r="AJ971">
            <v>-398299.6339543313</v>
          </cell>
          <cell r="AL971">
            <v>-9672332.725083862</v>
          </cell>
        </row>
        <row r="973">
          <cell r="A973" t="str">
            <v> = Чистый поток денежных средств (ЧПДС)</v>
          </cell>
          <cell r="B973" t="str">
            <v> = Net cash flow (NCF)</v>
          </cell>
          <cell r="D973" t="str">
            <v>тыс.руб.</v>
          </cell>
          <cell r="F973">
            <v>0</v>
          </cell>
          <cell r="G973">
            <v>-141344.3025255</v>
          </cell>
          <cell r="H973">
            <v>25619.96273931951</v>
          </cell>
          <cell r="I973">
            <v>41976.16079817293</v>
          </cell>
          <cell r="J973">
            <v>51917.377881742286</v>
          </cell>
          <cell r="K973">
            <v>62546.4580172422</v>
          </cell>
          <cell r="L973">
            <v>73198.22677669497</v>
          </cell>
          <cell r="M973">
            <v>84001.3356873503</v>
          </cell>
          <cell r="N973">
            <v>94220.41924703319</v>
          </cell>
          <cell r="O973">
            <v>104419.04956599523</v>
          </cell>
          <cell r="P973">
            <v>114595.95693945378</v>
          </cell>
          <cell r="Q973">
            <v>124716.87886466342</v>
          </cell>
          <cell r="R973">
            <v>134994.38194202638</v>
          </cell>
          <cell r="S973">
            <v>145463.14838758984</v>
          </cell>
          <cell r="T973">
            <v>155907.20675926522</v>
          </cell>
          <cell r="U973">
            <v>166558.69813544076</v>
          </cell>
          <cell r="V973">
            <v>167714.21456919145</v>
          </cell>
          <cell r="W973">
            <v>166861.11432910332</v>
          </cell>
          <cell r="X973">
            <v>165983.03102063428</v>
          </cell>
          <cell r="Y973">
            <v>165076.60419539857</v>
          </cell>
          <cell r="Z973">
            <v>164140.98354789277</v>
          </cell>
          <cell r="AA973">
            <v>163175.29326344922</v>
          </cell>
          <cell r="AB973">
            <v>162178.63125295943</v>
          </cell>
          <cell r="AC973">
            <v>161150.0683646421</v>
          </cell>
          <cell r="AD973">
            <v>160088.64757216262</v>
          </cell>
          <cell r="AE973">
            <v>158993.3831383958</v>
          </cell>
          <cell r="AF973">
            <v>157863.2597541032</v>
          </cell>
          <cell r="AG973">
            <v>156697.23165076907</v>
          </cell>
          <cell r="AH973">
            <v>155494.22168682207</v>
          </cell>
          <cell r="AI973">
            <v>153328.11234638403</v>
          </cell>
          <cell r="AJ973">
            <v>151833.15270104667</v>
          </cell>
          <cell r="AK973">
            <v>413523.5983403665</v>
          </cell>
          <cell r="AL973">
            <v>4062892.5069498112</v>
          </cell>
        </row>
        <row r="974">
          <cell r="A974" t="str">
            <v> = То же, нарастающим итогом</v>
          </cell>
          <cell r="B974" t="str">
            <v> = Accumulated net cash flow</v>
          </cell>
          <cell r="D974" t="str">
            <v>тыс.руб.</v>
          </cell>
          <cell r="E974" t="str">
            <v>on_end</v>
          </cell>
          <cell r="F974">
            <v>-1E-12</v>
          </cell>
          <cell r="G974">
            <v>-141344.3025255</v>
          </cell>
          <cell r="H974">
            <v>-115724.3397861805</v>
          </cell>
          <cell r="I974">
            <v>-73748.17898800757</v>
          </cell>
          <cell r="J974">
            <v>-21830.80110626528</v>
          </cell>
          <cell r="K974">
            <v>40715.65691097692</v>
          </cell>
          <cell r="L974">
            <v>113913.88368767189</v>
          </cell>
          <cell r="M974">
            <v>197915.2193750222</v>
          </cell>
          <cell r="N974">
            <v>292135.6386220554</v>
          </cell>
          <cell r="O974">
            <v>396554.68818805064</v>
          </cell>
          <cell r="P974">
            <v>511150.6451275044</v>
          </cell>
          <cell r="Q974">
            <v>635867.5239921678</v>
          </cell>
          <cell r="R974">
            <v>770861.9059341941</v>
          </cell>
          <cell r="S974">
            <v>916325.054321784</v>
          </cell>
          <cell r="T974">
            <v>1072232.2610810492</v>
          </cell>
          <cell r="U974">
            <v>1238790.95921649</v>
          </cell>
          <cell r="V974">
            <v>1406505.1737856814</v>
          </cell>
          <cell r="W974">
            <v>1573366.2881147848</v>
          </cell>
          <cell r="X974">
            <v>1739349.319135419</v>
          </cell>
          <cell r="Y974">
            <v>1904425.9233308176</v>
          </cell>
          <cell r="Z974">
            <v>2068566.9068787103</v>
          </cell>
          <cell r="AA974">
            <v>2231742.2001421596</v>
          </cell>
          <cell r="AB974">
            <v>2393920.831395119</v>
          </cell>
          <cell r="AC974">
            <v>2555070.899759761</v>
          </cell>
          <cell r="AD974">
            <v>2715159.5473319236</v>
          </cell>
          <cell r="AE974">
            <v>2874152.9304703195</v>
          </cell>
          <cell r="AF974">
            <v>3032016.1902244226</v>
          </cell>
          <cell r="AG974">
            <v>3188713.421875192</v>
          </cell>
          <cell r="AH974">
            <v>3344207.6435620137</v>
          </cell>
          <cell r="AI974">
            <v>3497535.755908398</v>
          </cell>
          <cell r="AJ974">
            <v>3649368.9086094447</v>
          </cell>
          <cell r="AK974">
            <v>4062892.5069498112</v>
          </cell>
          <cell r="AL974">
            <v>4062892.5069498112</v>
          </cell>
        </row>
        <row r="976">
          <cell r="A976" t="str">
            <v>Период начисления процентов</v>
          </cell>
          <cell r="B976" t="str">
            <v>Period of interest accretion</v>
          </cell>
          <cell r="D976" t="str">
            <v>дни</v>
          </cell>
          <cell r="E976" t="str">
            <v>on_end</v>
          </cell>
          <cell r="F976">
            <v>360</v>
          </cell>
        </row>
        <row r="977">
          <cell r="A977" t="str">
            <v>Включение в ЧПДС существующих основных фондов</v>
          </cell>
          <cell r="B977" t="str">
            <v>Actuation in NCF of existing Fixed Assets</v>
          </cell>
          <cell r="D977" t="str">
            <v>Да</v>
          </cell>
          <cell r="F977">
            <v>1</v>
          </cell>
        </row>
        <row r="979">
          <cell r="A979" t="str">
            <v>Ставка сравнения </v>
          </cell>
          <cell r="B979" t="str">
            <v>Rate of discount</v>
          </cell>
        </row>
        <row r="980">
          <cell r="A980" t="str">
            <v> - номинальная годовая банковская</v>
          </cell>
          <cell r="B980" t="str">
            <v> - nominal "banking" per year</v>
          </cell>
          <cell r="D980" t="str">
            <v>%</v>
          </cell>
          <cell r="E980" t="str">
            <v>on_end</v>
          </cell>
          <cell r="F980">
            <v>0.15</v>
          </cell>
          <cell r="G980">
            <v>0.15</v>
          </cell>
          <cell r="H980">
            <v>0.15</v>
          </cell>
          <cell r="I980">
            <v>0.15</v>
          </cell>
          <cell r="J980">
            <v>0.15</v>
          </cell>
          <cell r="K980">
            <v>0.15</v>
          </cell>
          <cell r="L980">
            <v>0.15</v>
          </cell>
          <cell r="M980">
            <v>0.15</v>
          </cell>
          <cell r="N980">
            <v>0.15</v>
          </cell>
          <cell r="O980">
            <v>0.15</v>
          </cell>
          <cell r="P980">
            <v>0.15</v>
          </cell>
          <cell r="Q980">
            <v>0.15</v>
          </cell>
          <cell r="R980">
            <v>0.15</v>
          </cell>
          <cell r="S980">
            <v>0.15</v>
          </cell>
          <cell r="T980">
            <v>0.15</v>
          </cell>
          <cell r="U980">
            <v>0.15</v>
          </cell>
          <cell r="V980">
            <v>0.15</v>
          </cell>
          <cell r="W980">
            <v>0.15</v>
          </cell>
          <cell r="X980">
            <v>0.15</v>
          </cell>
          <cell r="Y980">
            <v>0.15</v>
          </cell>
          <cell r="Z980">
            <v>0.15</v>
          </cell>
          <cell r="AA980">
            <v>0.15</v>
          </cell>
          <cell r="AB980">
            <v>0.15</v>
          </cell>
          <cell r="AC980">
            <v>0.15</v>
          </cell>
          <cell r="AD980">
            <v>0.15</v>
          </cell>
          <cell r="AE980">
            <v>0.15</v>
          </cell>
          <cell r="AF980">
            <v>0.15</v>
          </cell>
          <cell r="AG980">
            <v>0.15</v>
          </cell>
          <cell r="AH980">
            <v>0.15</v>
          </cell>
          <cell r="AI980">
            <v>0.15</v>
          </cell>
          <cell r="AJ980">
            <v>0.15</v>
          </cell>
          <cell r="AK980">
            <v>0.15</v>
          </cell>
        </row>
        <row r="981">
          <cell r="A981" t="str">
            <v> - реальная годовая банковская</v>
          </cell>
          <cell r="B981" t="str">
            <v> - real "banking" per year</v>
          </cell>
          <cell r="D981" t="str">
            <v>%</v>
          </cell>
          <cell r="E981" t="str">
            <v>on_end</v>
          </cell>
          <cell r="F981">
            <v>0.1499999999999999</v>
          </cell>
          <cell r="G981">
            <v>0.1499999999999999</v>
          </cell>
          <cell r="H981">
            <v>0.1499999999999999</v>
          </cell>
          <cell r="I981">
            <v>0.1499999999999999</v>
          </cell>
          <cell r="J981">
            <v>0.1499999999999999</v>
          </cell>
          <cell r="K981">
            <v>0.1499999999999999</v>
          </cell>
          <cell r="L981">
            <v>0.1499999999999999</v>
          </cell>
          <cell r="M981">
            <v>0.1499999999999999</v>
          </cell>
          <cell r="N981">
            <v>0.1499999999999999</v>
          </cell>
          <cell r="O981">
            <v>0.1499999999999999</v>
          </cell>
          <cell r="P981">
            <v>0.1499999999999999</v>
          </cell>
          <cell r="Q981">
            <v>0.1499999999999999</v>
          </cell>
          <cell r="R981">
            <v>0.1499999999999999</v>
          </cell>
          <cell r="S981">
            <v>0.1499999999999999</v>
          </cell>
          <cell r="T981">
            <v>0.1499999999999999</v>
          </cell>
          <cell r="U981">
            <v>0.1499999999999999</v>
          </cell>
          <cell r="V981">
            <v>0.1499999999999999</v>
          </cell>
          <cell r="W981">
            <v>0.1499999999999999</v>
          </cell>
          <cell r="X981">
            <v>0.1499999999999999</v>
          </cell>
          <cell r="Y981">
            <v>0.1499999999999999</v>
          </cell>
          <cell r="Z981">
            <v>0.1499999999999999</v>
          </cell>
          <cell r="AA981">
            <v>0.1499999999999999</v>
          </cell>
          <cell r="AB981">
            <v>0.1499999999999999</v>
          </cell>
          <cell r="AC981">
            <v>0.1499999999999999</v>
          </cell>
          <cell r="AD981">
            <v>0.1499999999999999</v>
          </cell>
          <cell r="AE981">
            <v>0.1499999999999999</v>
          </cell>
          <cell r="AF981">
            <v>0.1499999999999999</v>
          </cell>
          <cell r="AG981">
            <v>0.1499999999999999</v>
          </cell>
          <cell r="AH981">
            <v>0.1499999999999999</v>
          </cell>
          <cell r="AI981">
            <v>0.1499999999999999</v>
          </cell>
          <cell r="AJ981">
            <v>0.1499999999999999</v>
          </cell>
          <cell r="AK981">
            <v>0.1499999999999999</v>
          </cell>
        </row>
        <row r="982">
          <cell r="A982" t="str">
            <v> - номинальная годовая эффективная</v>
          </cell>
          <cell r="B982" t="str">
            <v> - nominal "effective" per year</v>
          </cell>
          <cell r="D982" t="str">
            <v>%</v>
          </cell>
          <cell r="E982" t="str">
            <v>on_end</v>
          </cell>
          <cell r="F982">
            <v>0.1499999999999999</v>
          </cell>
          <cell r="G982">
            <v>0.1499999999999999</v>
          </cell>
          <cell r="H982">
            <v>0.1499999999999999</v>
          </cell>
          <cell r="I982">
            <v>0.1499999999999999</v>
          </cell>
          <cell r="J982">
            <v>0.1499999999999999</v>
          </cell>
          <cell r="K982">
            <v>0.1499999999999999</v>
          </cell>
          <cell r="L982">
            <v>0.1499999999999999</v>
          </cell>
          <cell r="M982">
            <v>0.1499999999999999</v>
          </cell>
          <cell r="N982">
            <v>0.1499999999999999</v>
          </cell>
          <cell r="O982">
            <v>0.1499999999999999</v>
          </cell>
          <cell r="P982">
            <v>0.1499999999999999</v>
          </cell>
          <cell r="Q982">
            <v>0.1499999999999999</v>
          </cell>
          <cell r="R982">
            <v>0.1499999999999999</v>
          </cell>
          <cell r="S982">
            <v>0.1499999999999999</v>
          </cell>
          <cell r="T982">
            <v>0.1499999999999999</v>
          </cell>
          <cell r="U982">
            <v>0.1499999999999999</v>
          </cell>
          <cell r="V982">
            <v>0.1499999999999999</v>
          </cell>
          <cell r="W982">
            <v>0.1499999999999999</v>
          </cell>
          <cell r="X982">
            <v>0.1499999999999999</v>
          </cell>
          <cell r="Y982">
            <v>0.1499999999999999</v>
          </cell>
          <cell r="Z982">
            <v>0.1499999999999999</v>
          </cell>
          <cell r="AA982">
            <v>0.1499999999999999</v>
          </cell>
          <cell r="AB982">
            <v>0.1499999999999999</v>
          </cell>
          <cell r="AC982">
            <v>0.1499999999999999</v>
          </cell>
          <cell r="AD982">
            <v>0.1499999999999999</v>
          </cell>
          <cell r="AE982">
            <v>0.1499999999999999</v>
          </cell>
          <cell r="AF982">
            <v>0.1499999999999999</v>
          </cell>
          <cell r="AG982">
            <v>0.1499999999999999</v>
          </cell>
          <cell r="AH982">
            <v>0.1499999999999999</v>
          </cell>
          <cell r="AI982">
            <v>0.1499999999999999</v>
          </cell>
          <cell r="AJ982">
            <v>0.1499999999999999</v>
          </cell>
          <cell r="AK982">
            <v>0.1499999999999999</v>
          </cell>
        </row>
        <row r="983">
          <cell r="A983" t="str">
            <v> - реальная годовая эффективная</v>
          </cell>
          <cell r="B983" t="str">
            <v> - real "effective" per year</v>
          </cell>
          <cell r="D983" t="str">
            <v>%</v>
          </cell>
          <cell r="E983" t="str">
            <v>on_end</v>
          </cell>
          <cell r="F983">
            <v>0.1499999999999999</v>
          </cell>
          <cell r="G983">
            <v>0.1499999999999999</v>
          </cell>
          <cell r="H983">
            <v>0.1499999999999999</v>
          </cell>
          <cell r="I983">
            <v>0.1499999999999999</v>
          </cell>
          <cell r="J983">
            <v>0.1499999999999999</v>
          </cell>
          <cell r="K983">
            <v>0.1499999999999999</v>
          </cell>
          <cell r="L983">
            <v>0.1499999999999999</v>
          </cell>
          <cell r="M983">
            <v>0.1499999999999999</v>
          </cell>
          <cell r="N983">
            <v>0.1499999999999999</v>
          </cell>
          <cell r="O983">
            <v>0.1499999999999999</v>
          </cell>
          <cell r="P983">
            <v>0.1499999999999999</v>
          </cell>
          <cell r="Q983">
            <v>0.1499999999999999</v>
          </cell>
          <cell r="R983">
            <v>0.1499999999999999</v>
          </cell>
          <cell r="S983">
            <v>0.1499999999999999</v>
          </cell>
          <cell r="T983">
            <v>0.1499999999999999</v>
          </cell>
          <cell r="U983">
            <v>0.1499999999999999</v>
          </cell>
          <cell r="V983">
            <v>0.1499999999999999</v>
          </cell>
          <cell r="W983">
            <v>0.1499999999999999</v>
          </cell>
          <cell r="X983">
            <v>0.1499999999999999</v>
          </cell>
          <cell r="Y983">
            <v>0.1499999999999999</v>
          </cell>
          <cell r="Z983">
            <v>0.1499999999999999</v>
          </cell>
          <cell r="AA983">
            <v>0.1499999999999999</v>
          </cell>
          <cell r="AB983">
            <v>0.1499999999999999</v>
          </cell>
          <cell r="AC983">
            <v>0.1499999999999999</v>
          </cell>
          <cell r="AD983">
            <v>0.1499999999999999</v>
          </cell>
          <cell r="AE983">
            <v>0.1499999999999999</v>
          </cell>
          <cell r="AF983">
            <v>0.1499999999999999</v>
          </cell>
          <cell r="AG983">
            <v>0.1499999999999999</v>
          </cell>
          <cell r="AH983">
            <v>0.1499999999999999</v>
          </cell>
          <cell r="AI983">
            <v>0.1499999999999999</v>
          </cell>
          <cell r="AJ983">
            <v>0.1499999999999999</v>
          </cell>
          <cell r="AK983">
            <v>0.1499999999999999</v>
          </cell>
        </row>
        <row r="984">
          <cell r="A984" t="str">
            <v> - расчетная на ИП (номинальная)</v>
          </cell>
          <cell r="B984" t="str">
            <v> - calculated per PI (nominal)</v>
          </cell>
          <cell r="D984" t="str">
            <v>%</v>
          </cell>
          <cell r="E984" t="str">
            <v>on_end</v>
          </cell>
          <cell r="F984">
            <v>0.1499999999999999</v>
          </cell>
          <cell r="G984">
            <v>0.1499999999999999</v>
          </cell>
          <cell r="H984">
            <v>0.1499999999999999</v>
          </cell>
          <cell r="I984">
            <v>0.1499999999999999</v>
          </cell>
          <cell r="J984">
            <v>0.1499999999999999</v>
          </cell>
          <cell r="K984">
            <v>0.1499999999999999</v>
          </cell>
          <cell r="L984">
            <v>0.1499999999999999</v>
          </cell>
          <cell r="M984">
            <v>0.1499999999999999</v>
          </cell>
          <cell r="N984">
            <v>0.1499999999999999</v>
          </cell>
          <cell r="O984">
            <v>0.1499999999999999</v>
          </cell>
          <cell r="P984">
            <v>0.1499999999999999</v>
          </cell>
          <cell r="Q984">
            <v>0.1499999999999999</v>
          </cell>
          <cell r="R984">
            <v>0.1499999999999999</v>
          </cell>
          <cell r="S984">
            <v>0.1499999999999999</v>
          </cell>
          <cell r="T984">
            <v>0.1499999999999999</v>
          </cell>
          <cell r="U984">
            <v>0.1499999999999999</v>
          </cell>
          <cell r="V984">
            <v>0.1499999999999999</v>
          </cell>
          <cell r="W984">
            <v>0.1499999999999999</v>
          </cell>
          <cell r="X984">
            <v>0.1499999999999999</v>
          </cell>
          <cell r="Y984">
            <v>0.1499999999999999</v>
          </cell>
          <cell r="Z984">
            <v>0.1499999999999999</v>
          </cell>
          <cell r="AA984">
            <v>0.1499999999999999</v>
          </cell>
          <cell r="AB984">
            <v>0.1499999999999999</v>
          </cell>
          <cell r="AC984">
            <v>0.1499999999999999</v>
          </cell>
          <cell r="AD984">
            <v>0.1499999999999999</v>
          </cell>
          <cell r="AE984">
            <v>0.1499999999999999</v>
          </cell>
          <cell r="AF984">
            <v>0.1499999999999999</v>
          </cell>
          <cell r="AG984">
            <v>0.1499999999999999</v>
          </cell>
          <cell r="AH984">
            <v>0.1499999999999999</v>
          </cell>
          <cell r="AI984">
            <v>0.1499999999999999</v>
          </cell>
          <cell r="AJ984">
            <v>0.1499999999999999</v>
          </cell>
          <cell r="AK984">
            <v>0.1499999999999999</v>
          </cell>
        </row>
        <row r="985">
          <cell r="A985" t="str">
            <v> - расчетная на ИП (реальная)</v>
          </cell>
          <cell r="B985" t="str">
            <v> - calculated per PI (real)</v>
          </cell>
          <cell r="D985" t="str">
            <v>%</v>
          </cell>
          <cell r="E985" t="str">
            <v>on_end</v>
          </cell>
          <cell r="F985">
            <v>0.1499999999999999</v>
          </cell>
          <cell r="G985">
            <v>0.1499999999999999</v>
          </cell>
          <cell r="H985">
            <v>0.1499999999999999</v>
          </cell>
          <cell r="I985">
            <v>0.1499999999999999</v>
          </cell>
          <cell r="J985">
            <v>0.1499999999999999</v>
          </cell>
          <cell r="K985">
            <v>0.1499999999999999</v>
          </cell>
          <cell r="L985">
            <v>0.1499999999999999</v>
          </cell>
          <cell r="M985">
            <v>0.1499999999999999</v>
          </cell>
          <cell r="N985">
            <v>0.1499999999999999</v>
          </cell>
          <cell r="O985">
            <v>0.1499999999999999</v>
          </cell>
          <cell r="P985">
            <v>0.1499999999999999</v>
          </cell>
          <cell r="Q985">
            <v>0.1499999999999999</v>
          </cell>
          <cell r="R985">
            <v>0.1499999999999999</v>
          </cell>
          <cell r="S985">
            <v>0.1499999999999999</v>
          </cell>
          <cell r="T985">
            <v>0.1499999999999999</v>
          </cell>
          <cell r="U985">
            <v>0.1499999999999999</v>
          </cell>
          <cell r="V985">
            <v>0.1499999999999999</v>
          </cell>
          <cell r="W985">
            <v>0.1499999999999999</v>
          </cell>
          <cell r="X985">
            <v>0.1499999999999999</v>
          </cell>
          <cell r="Y985">
            <v>0.1499999999999999</v>
          </cell>
          <cell r="Z985">
            <v>0.1499999999999999</v>
          </cell>
          <cell r="AA985">
            <v>0.1499999999999999</v>
          </cell>
          <cell r="AB985">
            <v>0.1499999999999999</v>
          </cell>
          <cell r="AC985">
            <v>0.1499999999999999</v>
          </cell>
          <cell r="AD985">
            <v>0.1499999999999999</v>
          </cell>
          <cell r="AE985">
            <v>0.1499999999999999</v>
          </cell>
          <cell r="AF985">
            <v>0.1499999999999999</v>
          </cell>
          <cell r="AG985">
            <v>0.1499999999999999</v>
          </cell>
          <cell r="AH985">
            <v>0.1499999999999999</v>
          </cell>
          <cell r="AI985">
            <v>0.1499999999999999</v>
          </cell>
          <cell r="AJ985">
            <v>0.1499999999999999</v>
          </cell>
          <cell r="AK985">
            <v>0.1499999999999999</v>
          </cell>
        </row>
        <row r="986">
          <cell r="A986" t="str">
            <v> - расчетная на интервал планирования</v>
          </cell>
          <cell r="B986" t="str">
            <v> - used in calculations per PI</v>
          </cell>
          <cell r="D986" t="str">
            <v>%</v>
          </cell>
          <cell r="E986" t="str">
            <v>on_end</v>
          </cell>
          <cell r="F986">
            <v>0.1499999999999999</v>
          </cell>
          <cell r="G986">
            <v>0.1499999999999999</v>
          </cell>
          <cell r="H986">
            <v>0.1499999999999999</v>
          </cell>
          <cell r="I986">
            <v>0.1499999999999999</v>
          </cell>
          <cell r="J986">
            <v>0.1499999999999999</v>
          </cell>
          <cell r="K986">
            <v>0.1499999999999999</v>
          </cell>
          <cell r="L986">
            <v>0.1499999999999999</v>
          </cell>
          <cell r="M986">
            <v>0.1499999999999999</v>
          </cell>
          <cell r="N986">
            <v>0.1499999999999999</v>
          </cell>
          <cell r="O986">
            <v>0.1499999999999999</v>
          </cell>
          <cell r="P986">
            <v>0.1499999999999999</v>
          </cell>
          <cell r="Q986">
            <v>0.1499999999999999</v>
          </cell>
          <cell r="R986">
            <v>0.1499999999999999</v>
          </cell>
          <cell r="S986">
            <v>0.1499999999999999</v>
          </cell>
          <cell r="T986">
            <v>0.1499999999999999</v>
          </cell>
          <cell r="U986">
            <v>0.1499999999999999</v>
          </cell>
          <cell r="V986">
            <v>0.1499999999999999</v>
          </cell>
          <cell r="W986">
            <v>0.1499999999999999</v>
          </cell>
          <cell r="X986">
            <v>0.1499999999999999</v>
          </cell>
          <cell r="Y986">
            <v>0.1499999999999999</v>
          </cell>
          <cell r="Z986">
            <v>0.1499999999999999</v>
          </cell>
          <cell r="AA986">
            <v>0.1499999999999999</v>
          </cell>
          <cell r="AB986">
            <v>0.1499999999999999</v>
          </cell>
          <cell r="AC986">
            <v>0.1499999999999999</v>
          </cell>
          <cell r="AD986">
            <v>0.1499999999999999</v>
          </cell>
          <cell r="AE986">
            <v>0.1499999999999999</v>
          </cell>
          <cell r="AF986">
            <v>0.1499999999999999</v>
          </cell>
          <cell r="AG986">
            <v>0.1499999999999999</v>
          </cell>
          <cell r="AH986">
            <v>0.1499999999999999</v>
          </cell>
          <cell r="AI986">
            <v>0.1499999999999999</v>
          </cell>
          <cell r="AJ986">
            <v>0.1499999999999999</v>
          </cell>
          <cell r="AK986">
            <v>0.1499999999999999</v>
          </cell>
        </row>
        <row r="988">
          <cell r="A988" t="str">
            <v>Коэффициент дисконтирования</v>
          </cell>
          <cell r="B988" t="str">
            <v>Factor of discount</v>
          </cell>
          <cell r="F988">
            <v>1</v>
          </cell>
          <cell r="G988">
            <v>0.8695652173913044</v>
          </cell>
          <cell r="H988">
            <v>0.7561436672967865</v>
          </cell>
          <cell r="I988">
            <v>0.6575162324319883</v>
          </cell>
          <cell r="J988">
            <v>0.5717532455930333</v>
          </cell>
          <cell r="K988">
            <v>0.4971767352982899</v>
          </cell>
          <cell r="L988">
            <v>0.43232759591155645</v>
          </cell>
          <cell r="M988">
            <v>0.3759370399230926</v>
          </cell>
          <cell r="N988">
            <v>0.3269017738461675</v>
          </cell>
          <cell r="O988">
            <v>0.28426241204014563</v>
          </cell>
          <cell r="P988">
            <v>0.24718470612186577</v>
          </cell>
          <cell r="Q988">
            <v>0.2149432227146659</v>
          </cell>
          <cell r="R988">
            <v>0.186907150186666</v>
          </cell>
          <cell r="S988">
            <v>0.16252795668405742</v>
          </cell>
          <cell r="T988">
            <v>0.1413286579861369</v>
          </cell>
          <cell r="U988">
            <v>0.12289448520533644</v>
          </cell>
          <cell r="V988">
            <v>0.10686476974377082</v>
          </cell>
          <cell r="W988">
            <v>0.09292588673371377</v>
          </cell>
          <cell r="X988">
            <v>0.08080511889888155</v>
          </cell>
          <cell r="Y988">
            <v>0.07026532078163614</v>
          </cell>
          <cell r="Z988">
            <v>0.061100278940553164</v>
          </cell>
          <cell r="AA988">
            <v>0.05313067733961145</v>
          </cell>
          <cell r="AB988">
            <v>0.04620058899096648</v>
          </cell>
          <cell r="AC988">
            <v>0.040174425209536076</v>
          </cell>
          <cell r="AD988">
            <v>0.03493428279090094</v>
          </cell>
          <cell r="AE988">
            <v>0.03037763720947908</v>
          </cell>
          <cell r="AF988">
            <v>0.026415336703894853</v>
          </cell>
          <cell r="AG988">
            <v>0.02296985800338683</v>
          </cell>
          <cell r="AH988">
            <v>0.019973789568162464</v>
          </cell>
          <cell r="AI988">
            <v>0.01736851266796736</v>
          </cell>
          <cell r="AJ988">
            <v>0.015103054493884664</v>
          </cell>
          <cell r="AK988">
            <v>0.013133090864247535</v>
          </cell>
        </row>
        <row r="989">
          <cell r="A989" t="str">
            <v>Дисконтированный ЧПДС</v>
          </cell>
          <cell r="B989" t="str">
            <v>Present value of net cash flow </v>
          </cell>
          <cell r="D989" t="str">
            <v>тыс.руб.</v>
          </cell>
          <cell r="F989">
            <v>0</v>
          </cell>
          <cell r="G989">
            <v>-122908.08915260872</v>
          </cell>
          <cell r="H989">
            <v>19372.37258171608</v>
          </cell>
          <cell r="I989">
            <v>27600.00709997399</v>
          </cell>
          <cell r="J989">
            <v>29683.92930656611</v>
          </cell>
          <cell r="K989">
            <v>31096.643801484024</v>
          </cell>
          <cell r="L989">
            <v>31645.613407357454</v>
          </cell>
          <cell r="M989">
            <v>31579.21348788851</v>
          </cell>
          <cell r="N989">
            <v>30800.822184384728</v>
          </cell>
          <cell r="O989">
            <v>29682.410892569325</v>
          </cell>
          <cell r="P989">
            <v>28326.367938832867</v>
          </cell>
          <cell r="Q989">
            <v>26807.047870085356</v>
          </cell>
          <cell r="R989">
            <v>25231.415219994477</v>
          </cell>
          <cell r="S989">
            <v>23641.828280264817</v>
          </cell>
          <cell r="T989">
            <v>22034.156301654122</v>
          </cell>
          <cell r="U989">
            <v>20469.145463826022</v>
          </cell>
          <cell r="V989">
            <v>17922.740922694018</v>
          </cell>
          <cell r="W989">
            <v>15505.71701040752</v>
          </cell>
          <cell r="X989">
            <v>13412.278556819098</v>
          </cell>
          <cell r="Y989">
            <v>11599.160547332862</v>
          </cell>
          <cell r="Z989">
            <v>10029.059880352996</v>
          </cell>
          <cell r="AA989">
            <v>8669.613856176795</v>
          </cell>
          <cell r="AB989">
            <v>7492.74828563549</v>
          </cell>
          <cell r="AC989">
            <v>6474.111369026939</v>
          </cell>
          <cell r="AD989">
            <v>5592.582085898806</v>
          </cell>
          <cell r="AE989">
            <v>4829.843311685895</v>
          </cell>
          <cell r="AF989">
            <v>4170.0111595790495</v>
          </cell>
          <cell r="AG989">
            <v>3599.3131605419785</v>
          </cell>
          <cell r="AH989">
            <v>3105.8088630377883</v>
          </cell>
          <cell r="AI989">
            <v>2663.081261643694</v>
          </cell>
          <cell r="AJ989">
            <v>2293.1443792222194</v>
          </cell>
          <cell r="AK989">
            <v>6245.469440241829</v>
          </cell>
          <cell r="AL989">
            <v>378667.5687742861</v>
          </cell>
        </row>
        <row r="990">
          <cell r="A990" t="str">
            <v>То же, нарастающим итогом</v>
          </cell>
          <cell r="B990" t="str">
            <v>The same, accumulated </v>
          </cell>
          <cell r="D990" t="str">
            <v>тыс.руб.</v>
          </cell>
          <cell r="E990" t="str">
            <v>on_end</v>
          </cell>
          <cell r="F990">
            <v>0</v>
          </cell>
          <cell r="G990">
            <v>-122908.08915260872</v>
          </cell>
          <cell r="H990">
            <v>-103535.71657089263</v>
          </cell>
          <cell r="I990">
            <v>-75935.70947091863</v>
          </cell>
          <cell r="J990">
            <v>-46251.78016435252</v>
          </cell>
          <cell r="K990">
            <v>-15155.1363628685</v>
          </cell>
          <cell r="L990">
            <v>16490.477044488955</v>
          </cell>
          <cell r="M990">
            <v>48069.69053237747</v>
          </cell>
          <cell r="N990">
            <v>78870.5127167622</v>
          </cell>
          <cell r="O990">
            <v>108552.92360933153</v>
          </cell>
          <cell r="P990">
            <v>136879.2915481644</v>
          </cell>
          <cell r="Q990">
            <v>163686.33941824973</v>
          </cell>
          <cell r="R990">
            <v>188917.7546382442</v>
          </cell>
          <cell r="S990">
            <v>212559.58291850903</v>
          </cell>
          <cell r="T990">
            <v>234593.73922016314</v>
          </cell>
          <cell r="U990">
            <v>255062.88468398916</v>
          </cell>
          <cell r="V990">
            <v>272985.6256066832</v>
          </cell>
          <cell r="W990">
            <v>288491.34261709073</v>
          </cell>
          <cell r="X990">
            <v>301903.6211739098</v>
          </cell>
          <cell r="Y990">
            <v>313502.78172124265</v>
          </cell>
          <cell r="Z990">
            <v>323531.84160159563</v>
          </cell>
          <cell r="AA990">
            <v>332201.4554577724</v>
          </cell>
          <cell r="AB990">
            <v>339694.2037434079</v>
          </cell>
          <cell r="AC990">
            <v>346168.31511243485</v>
          </cell>
          <cell r="AD990">
            <v>351760.89719833364</v>
          </cell>
          <cell r="AE990">
            <v>356590.74051001953</v>
          </cell>
          <cell r="AF990">
            <v>360760.75166959857</v>
          </cell>
          <cell r="AG990">
            <v>364360.06483014056</v>
          </cell>
          <cell r="AH990">
            <v>367465.87369317835</v>
          </cell>
          <cell r="AI990">
            <v>370128.954954822</v>
          </cell>
          <cell r="AJ990">
            <v>372422.09933404427</v>
          </cell>
          <cell r="AK990">
            <v>378667.5687742861</v>
          </cell>
          <cell r="AL990">
            <v>378667.5687742861</v>
          </cell>
        </row>
        <row r="992">
          <cell r="A992" t="str">
            <v>Дисконтированная остаточная стоимость проекта</v>
          </cell>
          <cell r="B992" t="str">
            <v>Present salvage value of the project</v>
          </cell>
          <cell r="D992" t="str">
            <v>тыс.руб.</v>
          </cell>
          <cell r="E992" t="str">
            <v>on_end</v>
          </cell>
          <cell r="F992">
            <v>0</v>
          </cell>
          <cell r="G992">
            <v>122908.08915260872</v>
          </cell>
          <cell r="H992">
            <v>118900.50417049607</v>
          </cell>
          <cell r="I992">
            <v>107369.9910236436</v>
          </cell>
          <cell r="J992">
            <v>97514.11814430452</v>
          </cell>
          <cell r="K992">
            <v>88792.01328007932</v>
          </cell>
          <cell r="L992">
            <v>81009.17765602595</v>
          </cell>
          <cell r="M992">
            <v>73540.27718547157</v>
          </cell>
          <cell r="N992">
            <v>66649.85573700443</v>
          </cell>
          <cell r="O992">
            <v>60313.97964220162</v>
          </cell>
          <cell r="P992">
            <v>54505.188831840846</v>
          </cell>
          <cell r="Q992">
            <v>49200.870637650194</v>
          </cell>
          <cell r="R992">
            <v>44451.229845003276</v>
          </cell>
          <cell r="S992">
            <v>40154.467290094646</v>
          </cell>
          <cell r="T992">
            <v>36267.31677598819</v>
          </cell>
          <cell r="U992">
            <v>32722.17363166035</v>
          </cell>
          <cell r="V992">
            <v>29289.663073416614</v>
          </cell>
          <cell r="W992">
            <v>26212.710738699945</v>
          </cell>
          <cell r="X992">
            <v>23454.993189757493</v>
          </cell>
          <cell r="Y992">
            <v>20984.02972716395</v>
          </cell>
          <cell r="Z992">
            <v>18770.54350163724</v>
          </cell>
          <cell r="AA992">
            <v>16788.16144110034</v>
          </cell>
          <cell r="AB992">
            <v>15013.139711980722</v>
          </cell>
          <cell r="AC992">
            <v>13424.112974972044</v>
          </cell>
          <cell r="AD992">
            <v>12001.865734104902</v>
          </cell>
          <cell r="AE992">
            <v>10729.124134117086</v>
          </cell>
          <cell r="AF992">
            <v>9590.366629760301</v>
          </cell>
          <cell r="AG992">
            <v>8571.652027799626</v>
          </cell>
          <cell r="AH992">
            <v>7660.463484843965</v>
          </cell>
          <cell r="AI992">
            <v>6917.42852352858</v>
          </cell>
          <cell r="AJ992">
            <v>6245.469440241829</v>
          </cell>
          <cell r="AK992">
            <v>5430.842991514634</v>
          </cell>
          <cell r="AL992">
            <v>5430.842991514634</v>
          </cell>
        </row>
        <row r="994">
          <cell r="A994" t="str">
            <v>Дисконтированная стоимость инвестиционных затрат</v>
          </cell>
          <cell r="B994" t="str">
            <v>Present value of investment costs (PVI) </v>
          </cell>
          <cell r="D994" t="str">
            <v>тыс.руб.</v>
          </cell>
          <cell r="F994">
            <v>0</v>
          </cell>
          <cell r="G994">
            <v>-122908.08915260872</v>
          </cell>
          <cell r="H994">
            <v>-15342.011750458245</v>
          </cell>
          <cell r="I994">
            <v>-6863.558565038466</v>
          </cell>
          <cell r="J994">
            <v>-6657.874035351831</v>
          </cell>
          <cell r="K994">
            <v>-6178.837047487858</v>
          </cell>
          <cell r="L994">
            <v>-5695.8696822891525</v>
          </cell>
          <cell r="M994">
            <v>-4747.199533942047</v>
          </cell>
          <cell r="N994">
            <v>-4136.297773658263</v>
          </cell>
          <cell r="O994">
            <v>-3604.9826138979283</v>
          </cell>
          <cell r="P994">
            <v>-3142.94502535564</v>
          </cell>
          <cell r="Q994">
            <v>-2748.2673167629837</v>
          </cell>
          <cell r="R994">
            <v>-2488.0493380262137</v>
          </cell>
          <cell r="S994">
            <v>-2214.428524781072</v>
          </cell>
          <cell r="T994">
            <v>-1970.5665917037484</v>
          </cell>
          <cell r="U994">
            <v>-1724.6615604173376</v>
          </cell>
          <cell r="V994">
            <v>-1304.5426330758369</v>
          </cell>
          <cell r="W994">
            <v>-1151.2155332854675</v>
          </cell>
          <cell r="X994">
            <v>-1015.9204016176261</v>
          </cell>
          <cell r="Y994">
            <v>-896.7214958731986</v>
          </cell>
          <cell r="Z994">
            <v>-791.6811481662322</v>
          </cell>
          <cell r="AA994">
            <v>-699.0975422643932</v>
          </cell>
          <cell r="AB994">
            <v>-617.4757125179698</v>
          </cell>
          <cell r="AC994">
            <v>-545.5021416566159</v>
          </cell>
          <cell r="AD994">
            <v>-482.02250722408826</v>
          </cell>
          <cell r="AE994">
            <v>-426.0221831442898</v>
          </cell>
          <cell r="AF994">
            <v>-376.6091524457729</v>
          </cell>
          <cell r="AG994">
            <v>-332.99903043178455</v>
          </cell>
          <cell r="AH994">
            <v>-294.5019353677561</v>
          </cell>
          <cell r="AI994">
            <v>-258.2158318776597</v>
          </cell>
          <cell r="AJ994">
            <v>-230.31420239088914</v>
          </cell>
          <cell r="AL994">
            <v>-199846.4799631191</v>
          </cell>
        </row>
        <row r="995">
          <cell r="A995" t="str">
            <v>То же, нарастающим итогом</v>
          </cell>
          <cell r="B995" t="str">
            <v>The same, accumulated </v>
          </cell>
          <cell r="D995" t="str">
            <v>тыс.руб.</v>
          </cell>
          <cell r="E995" t="str">
            <v>on_end</v>
          </cell>
          <cell r="F995">
            <v>0</v>
          </cell>
          <cell r="G995">
            <v>-122908.08915260872</v>
          </cell>
          <cell r="H995">
            <v>-138250.10090306698</v>
          </cell>
          <cell r="I995">
            <v>-145113.65946810544</v>
          </cell>
          <cell r="J995">
            <v>-151771.53350345726</v>
          </cell>
          <cell r="K995">
            <v>-157950.3705509451</v>
          </cell>
          <cell r="L995">
            <v>-163646.24023323428</v>
          </cell>
          <cell r="M995">
            <v>-168393.4397671763</v>
          </cell>
          <cell r="N995">
            <v>-172529.73754083458</v>
          </cell>
          <cell r="O995">
            <v>-176134.72015473252</v>
          </cell>
          <cell r="P995">
            <v>-179277.66518008817</v>
          </cell>
          <cell r="Q995">
            <v>-182025.93249685114</v>
          </cell>
          <cell r="R995">
            <v>-184513.98183487734</v>
          </cell>
          <cell r="S995">
            <v>-186728.41035965842</v>
          </cell>
          <cell r="T995">
            <v>-188698.97695136216</v>
          </cell>
          <cell r="U995">
            <v>-190423.63851177949</v>
          </cell>
          <cell r="V995">
            <v>-191728.18114485533</v>
          </cell>
          <cell r="W995">
            <v>-192879.3966781408</v>
          </cell>
          <cell r="X995">
            <v>-193895.31707975842</v>
          </cell>
          <cell r="Y995">
            <v>-194792.03857563162</v>
          </cell>
          <cell r="Z995">
            <v>-195583.71972379787</v>
          </cell>
          <cell r="AA995">
            <v>-196282.81726606225</v>
          </cell>
          <cell r="AB995">
            <v>-196900.29297858023</v>
          </cell>
          <cell r="AC995">
            <v>-197445.79512023684</v>
          </cell>
          <cell r="AD995">
            <v>-197927.81762746093</v>
          </cell>
          <cell r="AE995">
            <v>-198353.83981060522</v>
          </cell>
          <cell r="AF995">
            <v>-198730.448963051</v>
          </cell>
          <cell r="AG995">
            <v>-199063.44799348278</v>
          </cell>
          <cell r="AH995">
            <v>-199357.94992885055</v>
          </cell>
          <cell r="AI995">
            <v>-199616.1657607282</v>
          </cell>
          <cell r="AJ995">
            <v>-199846.4799631191</v>
          </cell>
          <cell r="AK995">
            <v>-199846.4799631191</v>
          </cell>
          <cell r="AL995">
            <v>-199846.4799631191</v>
          </cell>
        </row>
        <row r="997">
          <cell r="A997" t="str">
            <v>ПОКАЗАТЕЛИ ЭФФЕКТИВНОСТИ ПОЛНЫХ ИНВЕСТИЦИОННЫХ ЗАТРАТ</v>
          </cell>
          <cell r="B997" t="str">
            <v>TOTAL INVESTMENTS' EFFICIENCY INDICATORS</v>
          </cell>
        </row>
        <row r="999">
          <cell r="A999" t="str">
            <v>№ ИП достижения окупаемости 1</v>
          </cell>
          <cell r="B999" t="str">
            <v>№ PI for pay-back achieved 1</v>
          </cell>
          <cell r="C999" t="str">
            <v>год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6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6</v>
          </cell>
        </row>
        <row r="1000">
          <cell r="A1000" t="str">
            <v>Простой срок окупаемости</v>
          </cell>
          <cell r="B1000" t="str">
            <v>Simple pay-back period</v>
          </cell>
          <cell r="C1000" t="str">
            <v>лет</v>
          </cell>
          <cell r="D1000">
            <v>4.349033371326113</v>
          </cell>
          <cell r="F1000" t="str">
            <v/>
          </cell>
        </row>
        <row r="1001">
          <cell r="A1001" t="str">
            <v>№ ИП достижения окупаемости 2</v>
          </cell>
          <cell r="B1001" t="str">
            <v>№ PI for pay-back achieved 2</v>
          </cell>
          <cell r="C1001" t="str">
            <v>год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7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7</v>
          </cell>
        </row>
        <row r="1002">
          <cell r="A1002" t="str">
            <v>Дисконтированный срок окупаемости</v>
          </cell>
          <cell r="B1002" t="str">
            <v>Discounted pay-back period</v>
          </cell>
          <cell r="C1002" t="str">
            <v>лет</v>
          </cell>
          <cell r="D1002">
            <v>5.478901646423608</v>
          </cell>
          <cell r="F1002" t="str">
            <v/>
          </cell>
        </row>
        <row r="1004">
          <cell r="A1004" t="str">
            <v>NPV (чистая текущая стоимость проекта)</v>
          </cell>
          <cell r="B1004" t="str">
            <v>Net present value (NPV)</v>
          </cell>
          <cell r="C1004" t="str">
            <v>тыс.руб.</v>
          </cell>
          <cell r="D1004">
            <v>378667.5687742861</v>
          </cell>
          <cell r="E1004" t="str">
            <v>on_end</v>
          </cell>
          <cell r="F1004">
            <v>0</v>
          </cell>
          <cell r="G1004">
            <v>0</v>
          </cell>
          <cell r="H1004">
            <v>15364.787599603442</v>
          </cell>
          <cell r="I1004">
            <v>31434.281552724962</v>
          </cell>
          <cell r="J1004">
            <v>51262.337979952</v>
          </cell>
          <cell r="K1004">
            <v>73636.87691721082</v>
          </cell>
          <cell r="L1004">
            <v>97499.6547005149</v>
          </cell>
          <cell r="M1004">
            <v>121609.96771784904</v>
          </cell>
          <cell r="N1004">
            <v>145520.36845376663</v>
          </cell>
          <cell r="O1004">
            <v>168866.90325153316</v>
          </cell>
          <cell r="P1004">
            <v>191384.48038000523</v>
          </cell>
          <cell r="Q1004">
            <v>212887.21005589992</v>
          </cell>
          <cell r="R1004">
            <v>233368.98448324748</v>
          </cell>
          <cell r="S1004">
            <v>252714.05020860367</v>
          </cell>
          <cell r="T1004">
            <v>270861.05599615135</v>
          </cell>
          <cell r="U1004">
            <v>287785.0583156495</v>
          </cell>
          <cell r="V1004">
            <v>302275.2886800998</v>
          </cell>
          <cell r="W1004">
            <v>314704.0533557907</v>
          </cell>
          <cell r="X1004">
            <v>325358.6143636673</v>
          </cell>
          <cell r="Y1004">
            <v>334486.8114484066</v>
          </cell>
          <cell r="Z1004">
            <v>342302.38510323287</v>
          </cell>
          <cell r="AA1004">
            <v>348989.6168988728</v>
          </cell>
          <cell r="AB1004">
            <v>354707.3434553886</v>
          </cell>
          <cell r="AC1004">
            <v>359592.4280874069</v>
          </cell>
          <cell r="AD1004">
            <v>363762.7629324385</v>
          </cell>
          <cell r="AE1004">
            <v>367319.8646441366</v>
          </cell>
          <cell r="AF1004">
            <v>370351.1182993589</v>
          </cell>
          <cell r="AG1004">
            <v>372931.7168579402</v>
          </cell>
          <cell r="AH1004">
            <v>375126.3371780223</v>
          </cell>
          <cell r="AI1004">
            <v>377046.3834783506</v>
          </cell>
          <cell r="AJ1004">
            <v>378667.5687742861</v>
          </cell>
          <cell r="AK1004">
            <v>378667.5687742861</v>
          </cell>
          <cell r="AL1004">
            <v>378667.5687742861</v>
          </cell>
        </row>
        <row r="1005">
          <cell r="A1005" t="str">
            <v>NPV на 1 кВт</v>
          </cell>
          <cell r="C1005" t="str">
            <v>руб/кВт</v>
          </cell>
          <cell r="D1005">
            <v>12622.252292476203</v>
          </cell>
        </row>
        <row r="1006">
          <cell r="A1006" t="str">
            <v>IRR (внутренняя норма доходности)</v>
          </cell>
          <cell r="B1006" t="str">
            <v>Internal rate of return (IRR)</v>
          </cell>
        </row>
        <row r="1007">
          <cell r="A1007" t="str">
            <v> - расчетная на интервал планирования</v>
          </cell>
          <cell r="B1007" t="str">
            <v> - calculated per PI</v>
          </cell>
          <cell r="D1007">
            <v>0.3947398148811461</v>
          </cell>
          <cell r="AK1007">
            <v>0.3947398148811461</v>
          </cell>
          <cell r="AL1007">
            <v>0.3947398148811461</v>
          </cell>
        </row>
        <row r="1008">
          <cell r="A1008" t="str">
            <v> - расчетная на ИП (реальная)</v>
          </cell>
          <cell r="B1008" t="str">
            <v> - calculated per PI (real)</v>
          </cell>
          <cell r="D1008">
            <v>0.3947398148811461</v>
          </cell>
          <cell r="AK1008">
            <v>0.3947398148811461</v>
          </cell>
          <cell r="AL1008">
            <v>0.3947398148811461</v>
          </cell>
        </row>
        <row r="1009">
          <cell r="A1009" t="str">
            <v> - расчетная на ИП (номинальная)</v>
          </cell>
          <cell r="B1009" t="str">
            <v> - calculated per PI (nominal)</v>
          </cell>
          <cell r="D1009">
            <v>0.3947398148811461</v>
          </cell>
          <cell r="AK1009">
            <v>0.3947398148811461</v>
          </cell>
          <cell r="AL1009">
            <v>0.3947398148811461</v>
          </cell>
        </row>
        <row r="1010">
          <cell r="A1010" t="str">
            <v> - номинальная годовая эффективная</v>
          </cell>
          <cell r="B1010" t="str">
            <v> - nominal "effective" per year</v>
          </cell>
          <cell r="D1010">
            <v>0.39473981488114607</v>
          </cell>
          <cell r="AK1010">
            <v>0.39473981488114607</v>
          </cell>
          <cell r="AL1010">
            <v>0.39473981488114607</v>
          </cell>
        </row>
        <row r="1011">
          <cell r="A1011" t="str">
            <v> - реальная годовая эффективная</v>
          </cell>
          <cell r="B1011" t="str">
            <v> - real "effective" per year</v>
          </cell>
          <cell r="D1011">
            <v>0.39473981488114607</v>
          </cell>
          <cell r="AK1011">
            <v>0.39473981488114607</v>
          </cell>
          <cell r="AL1011">
            <v>0.39473981488114607</v>
          </cell>
        </row>
        <row r="1012">
          <cell r="A1012" t="str">
            <v> - реальная годовая банковская</v>
          </cell>
          <cell r="B1012" t="str">
            <v> - real "banking" per year</v>
          </cell>
          <cell r="D1012">
            <v>0.39473981488114607</v>
          </cell>
          <cell r="AK1012">
            <v>0.39473981488114607</v>
          </cell>
          <cell r="AL1012">
            <v>0.39473981488114607</v>
          </cell>
        </row>
        <row r="1013">
          <cell r="A1013" t="str">
            <v> - номинальная годовая банковская</v>
          </cell>
          <cell r="B1013" t="str">
            <v> - nominal "banking" per year</v>
          </cell>
          <cell r="D1013">
            <v>0.39473981488114607</v>
          </cell>
          <cell r="AK1013">
            <v>0.39473981488114607</v>
          </cell>
          <cell r="AL1013">
            <v>0.39473981488114607</v>
          </cell>
        </row>
        <row r="1015">
          <cell r="A1015" t="str">
            <v>Максимальная ставка процентов по кредитам</v>
          </cell>
          <cell r="B1015" t="str">
            <v>Maximal rate of interest</v>
          </cell>
        </row>
        <row r="1016">
          <cell r="A1016" t="str">
            <v> в пределах периода планирования</v>
          </cell>
          <cell r="B1016" t="str">
            <v> to be repaid within planning period</v>
          </cell>
        </row>
        <row r="1017">
          <cell r="A1017" t="str">
            <v> - расчетная на интервал планирования</v>
          </cell>
          <cell r="B1017" t="str">
            <v> - calculated per PI</v>
          </cell>
          <cell r="D1017">
            <v>0.39470326403443123</v>
          </cell>
          <cell r="E1017" t="str">
            <v>on_end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-0.07208927882849825</v>
          </cell>
          <cell r="K1017">
            <v>0.09531297637926693</v>
          </cell>
          <cell r="L1017">
            <v>0.19667708455786423</v>
          </cell>
          <cell r="M1017">
            <v>0.26061444682127766</v>
          </cell>
          <cell r="N1017">
            <v>0.30210698547871817</v>
          </cell>
          <cell r="O1017">
            <v>0.32984980378088363</v>
          </cell>
          <cell r="P1017">
            <v>0.34883792670261193</v>
          </cell>
          <cell r="Q1017">
            <v>0.3620717844941002</v>
          </cell>
          <cell r="R1017">
            <v>0.3714422170487569</v>
          </cell>
          <cell r="S1017">
            <v>0.37816117422893547</v>
          </cell>
          <cell r="T1017">
            <v>0.3830201377448156</v>
          </cell>
          <cell r="U1017">
            <v>0.38656241039277556</v>
          </cell>
          <cell r="V1017">
            <v>0.3890215933381925</v>
          </cell>
          <cell r="W1017">
            <v>0.3907243485329334</v>
          </cell>
          <cell r="X1017">
            <v>0.39191170071917686</v>
          </cell>
          <cell r="Y1017">
            <v>0.39274402018508514</v>
          </cell>
          <cell r="Z1017">
            <v>0.3933297624347168</v>
          </cell>
          <cell r="AA1017">
            <v>0.3937431847858881</v>
          </cell>
          <cell r="AB1017">
            <v>0.3940356143735144</v>
          </cell>
          <cell r="AC1017">
            <v>0.3942427884698294</v>
          </cell>
          <cell r="AD1017">
            <v>0.3943897291187724</v>
          </cell>
          <cell r="AE1017">
            <v>0.39449403074788514</v>
          </cell>
          <cell r="AF1017">
            <v>0.39456810499971745</v>
          </cell>
          <cell r="AG1017">
            <v>0.3946207286513927</v>
          </cell>
          <cell r="AH1017">
            <v>0.3946581192654686</v>
          </cell>
          <cell r="AI1017">
            <v>0.39468452794241593</v>
          </cell>
          <cell r="AJ1017">
            <v>0.39470326403443123</v>
          </cell>
          <cell r="AK1017">
            <v>0.39470326403443123</v>
          </cell>
          <cell r="AL1017">
            <v>0.39470326403443123</v>
          </cell>
        </row>
        <row r="1018">
          <cell r="A1018" t="str">
            <v> - расчетная на ИП (реальная)</v>
          </cell>
          <cell r="B1018" t="str">
            <v> - calculated per PI (real)</v>
          </cell>
          <cell r="D1018">
            <v>0.39470326403443123</v>
          </cell>
          <cell r="E1018" t="str">
            <v>on_end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-0.07208927882849825</v>
          </cell>
          <cell r="K1018">
            <v>0.09531297637926693</v>
          </cell>
          <cell r="L1018">
            <v>0.19667708455786423</v>
          </cell>
          <cell r="M1018">
            <v>0.26061444682127766</v>
          </cell>
          <cell r="N1018">
            <v>0.30210698547871817</v>
          </cell>
          <cell r="O1018">
            <v>0.32984980378088363</v>
          </cell>
          <cell r="P1018">
            <v>0.34883792670261193</v>
          </cell>
          <cell r="Q1018">
            <v>0.3620717844941002</v>
          </cell>
          <cell r="R1018">
            <v>0.3714422170487569</v>
          </cell>
          <cell r="S1018">
            <v>0.37816117422893547</v>
          </cell>
          <cell r="T1018">
            <v>0.3830201377448156</v>
          </cell>
          <cell r="U1018">
            <v>0.38656241039277556</v>
          </cell>
          <cell r="V1018">
            <v>0.3890215933381925</v>
          </cell>
          <cell r="W1018">
            <v>0.3907243485329334</v>
          </cell>
          <cell r="X1018">
            <v>0.39191170071917686</v>
          </cell>
          <cell r="Y1018">
            <v>0.39274402018508514</v>
          </cell>
          <cell r="Z1018">
            <v>0.3933297624347168</v>
          </cell>
          <cell r="AA1018">
            <v>0.3937431847858881</v>
          </cell>
          <cell r="AB1018">
            <v>0.3940356143735144</v>
          </cell>
          <cell r="AC1018">
            <v>0.3942427884698294</v>
          </cell>
          <cell r="AD1018">
            <v>0.3943897291187724</v>
          </cell>
          <cell r="AE1018">
            <v>0.39449403074788514</v>
          </cell>
          <cell r="AF1018">
            <v>0.39456810499971745</v>
          </cell>
          <cell r="AG1018">
            <v>0.3946207286513927</v>
          </cell>
          <cell r="AH1018">
            <v>0.3946581192654686</v>
          </cell>
          <cell r="AI1018">
            <v>0.39468452794241593</v>
          </cell>
          <cell r="AJ1018">
            <v>0.39470326403443123</v>
          </cell>
          <cell r="AK1018">
            <v>0.39470326403443123</v>
          </cell>
          <cell r="AL1018">
            <v>0.39470326403443123</v>
          </cell>
        </row>
        <row r="1019">
          <cell r="A1019" t="str">
            <v> - расчетная на ИП (номинальная)</v>
          </cell>
          <cell r="B1019" t="str">
            <v> - calculated per PI (nominal)</v>
          </cell>
          <cell r="D1019">
            <v>0.39470326403443123</v>
          </cell>
          <cell r="E1019" t="str">
            <v>on_end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-0.07208927882849825</v>
          </cell>
          <cell r="K1019">
            <v>0.09531297637926693</v>
          </cell>
          <cell r="L1019">
            <v>0.19667708455786423</v>
          </cell>
          <cell r="M1019">
            <v>0.26061444682127766</v>
          </cell>
          <cell r="N1019">
            <v>0.30210698547871817</v>
          </cell>
          <cell r="O1019">
            <v>0.32984980378088363</v>
          </cell>
          <cell r="P1019">
            <v>0.34883792670261193</v>
          </cell>
          <cell r="Q1019">
            <v>0.3620717844941002</v>
          </cell>
          <cell r="R1019">
            <v>0.3714422170487569</v>
          </cell>
          <cell r="S1019">
            <v>0.37816117422893547</v>
          </cell>
          <cell r="T1019">
            <v>0.3830201377448156</v>
          </cell>
          <cell r="U1019">
            <v>0.38656241039277556</v>
          </cell>
          <cell r="V1019">
            <v>0.3890215933381925</v>
          </cell>
          <cell r="W1019">
            <v>0.3907243485329334</v>
          </cell>
          <cell r="X1019">
            <v>0.39191170071917686</v>
          </cell>
          <cell r="Y1019">
            <v>0.39274402018508514</v>
          </cell>
          <cell r="Z1019">
            <v>0.3933297624347168</v>
          </cell>
          <cell r="AA1019">
            <v>0.3937431847858881</v>
          </cell>
          <cell r="AB1019">
            <v>0.3940356143735144</v>
          </cell>
          <cell r="AC1019">
            <v>0.3942427884698294</v>
          </cell>
          <cell r="AD1019">
            <v>0.3943897291187724</v>
          </cell>
          <cell r="AE1019">
            <v>0.39449403074788514</v>
          </cell>
          <cell r="AF1019">
            <v>0.39456810499971745</v>
          </cell>
          <cell r="AG1019">
            <v>0.3946207286513927</v>
          </cell>
          <cell r="AH1019">
            <v>0.3946581192654686</v>
          </cell>
          <cell r="AI1019">
            <v>0.39468452794241593</v>
          </cell>
          <cell r="AJ1019">
            <v>0.39470326403443123</v>
          </cell>
          <cell r="AK1019">
            <v>0.39470326403443123</v>
          </cell>
          <cell r="AL1019">
            <v>0.39470326403443123</v>
          </cell>
        </row>
        <row r="1020">
          <cell r="A1020" t="str">
            <v> - номинальная годовая эффективная</v>
          </cell>
          <cell r="B1020" t="str">
            <v> - nominal "effective" per year</v>
          </cell>
          <cell r="D1020">
            <v>0.39470326403443123</v>
          </cell>
          <cell r="E1020" t="str">
            <v>on_end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-0.07208927882849825</v>
          </cell>
          <cell r="K1020">
            <v>0.09531297637926683</v>
          </cell>
          <cell r="L1020">
            <v>0.19667708455786426</v>
          </cell>
          <cell r="M1020">
            <v>0.26061444682127766</v>
          </cell>
          <cell r="N1020">
            <v>0.30210698547871817</v>
          </cell>
          <cell r="O1020">
            <v>0.3298498037808837</v>
          </cell>
          <cell r="P1020">
            <v>0.34883792670261204</v>
          </cell>
          <cell r="Q1020">
            <v>0.36207178449410016</v>
          </cell>
          <cell r="R1020">
            <v>0.3714422170487568</v>
          </cell>
          <cell r="S1020">
            <v>0.37816117422893547</v>
          </cell>
          <cell r="T1020">
            <v>0.3830201377448157</v>
          </cell>
          <cell r="U1020">
            <v>0.3865624103927756</v>
          </cell>
          <cell r="V1020">
            <v>0.3890215933381924</v>
          </cell>
          <cell r="W1020">
            <v>0.3907243485329335</v>
          </cell>
          <cell r="X1020">
            <v>0.3919117007191768</v>
          </cell>
          <cell r="Y1020">
            <v>0.39274402018508514</v>
          </cell>
          <cell r="Z1020">
            <v>0.39332976243471673</v>
          </cell>
          <cell r="AA1020">
            <v>0.3937431847858881</v>
          </cell>
          <cell r="AB1020">
            <v>0.3940356143735144</v>
          </cell>
          <cell r="AC1020">
            <v>0.3942427884698294</v>
          </cell>
          <cell r="AD1020">
            <v>0.39438972911877235</v>
          </cell>
          <cell r="AE1020">
            <v>0.394494030747885</v>
          </cell>
          <cell r="AF1020">
            <v>0.3945681049997174</v>
          </cell>
          <cell r="AG1020">
            <v>0.39462072865139275</v>
          </cell>
          <cell r="AH1020">
            <v>0.39465811926546857</v>
          </cell>
          <cell r="AI1020">
            <v>0.3946845279424158</v>
          </cell>
          <cell r="AJ1020">
            <v>0.39470326403443123</v>
          </cell>
          <cell r="AK1020">
            <v>0.39470326403443123</v>
          </cell>
          <cell r="AL1020">
            <v>0.39470326403443123</v>
          </cell>
        </row>
        <row r="1021">
          <cell r="A1021" t="str">
            <v> - реальная годовая эффективная</v>
          </cell>
          <cell r="B1021" t="str">
            <v> - real "effective" per year</v>
          </cell>
          <cell r="D1021">
            <v>0.39470326403443123</v>
          </cell>
          <cell r="E1021" t="str">
            <v>on_end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-0.07208927882849825</v>
          </cell>
          <cell r="K1021">
            <v>0.09531297637926683</v>
          </cell>
          <cell r="L1021">
            <v>0.19667708455786426</v>
          </cell>
          <cell r="M1021">
            <v>0.26061444682127766</v>
          </cell>
          <cell r="N1021">
            <v>0.30210698547871817</v>
          </cell>
          <cell r="O1021">
            <v>0.3298498037808837</v>
          </cell>
          <cell r="P1021">
            <v>0.34883792670261204</v>
          </cell>
          <cell r="Q1021">
            <v>0.36207178449410016</v>
          </cell>
          <cell r="R1021">
            <v>0.3714422170487568</v>
          </cell>
          <cell r="S1021">
            <v>0.37816117422893547</v>
          </cell>
          <cell r="T1021">
            <v>0.3830201377448157</v>
          </cell>
          <cell r="U1021">
            <v>0.3865624103927756</v>
          </cell>
          <cell r="V1021">
            <v>0.3890215933381924</v>
          </cell>
          <cell r="W1021">
            <v>0.3907243485329335</v>
          </cell>
          <cell r="X1021">
            <v>0.3919117007191768</v>
          </cell>
          <cell r="Y1021">
            <v>0.39274402018508514</v>
          </cell>
          <cell r="Z1021">
            <v>0.39332976243471673</v>
          </cell>
          <cell r="AA1021">
            <v>0.3937431847858881</v>
          </cell>
          <cell r="AB1021">
            <v>0.3940356143735144</v>
          </cell>
          <cell r="AC1021">
            <v>0.3942427884698294</v>
          </cell>
          <cell r="AD1021">
            <v>0.39438972911877235</v>
          </cell>
          <cell r="AE1021">
            <v>0.394494030747885</v>
          </cell>
          <cell r="AF1021">
            <v>0.3945681049997174</v>
          </cell>
          <cell r="AG1021">
            <v>0.39462072865139275</v>
          </cell>
          <cell r="AH1021">
            <v>0.39465811926546857</v>
          </cell>
          <cell r="AI1021">
            <v>0.3946845279424158</v>
          </cell>
          <cell r="AJ1021">
            <v>0.39470326403443123</v>
          </cell>
          <cell r="AK1021">
            <v>0.39470326403443123</v>
          </cell>
          <cell r="AL1021">
            <v>0.39470326403443123</v>
          </cell>
        </row>
        <row r="1022">
          <cell r="A1022" t="str">
            <v> - реальная годовая банковская</v>
          </cell>
          <cell r="B1022" t="str">
            <v> - real "banking" per year</v>
          </cell>
          <cell r="D1022">
            <v>0.39470326403443123</v>
          </cell>
          <cell r="E1022" t="str">
            <v>on_end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-0.07208927882849825</v>
          </cell>
          <cell r="K1022">
            <v>0.09531297637926683</v>
          </cell>
          <cell r="L1022">
            <v>0.19667708455786428</v>
          </cell>
          <cell r="M1022">
            <v>0.26061444682127766</v>
          </cell>
          <cell r="N1022">
            <v>0.30210698547871817</v>
          </cell>
          <cell r="O1022">
            <v>0.3298498037808837</v>
          </cell>
          <cell r="P1022">
            <v>0.34883792670261204</v>
          </cell>
          <cell r="Q1022">
            <v>0.3620717844941001</v>
          </cell>
          <cell r="R1022">
            <v>0.3714422170487568</v>
          </cell>
          <cell r="S1022">
            <v>0.37816117422893547</v>
          </cell>
          <cell r="T1022">
            <v>0.3830201377448157</v>
          </cell>
          <cell r="U1022">
            <v>0.3865624103927756</v>
          </cell>
          <cell r="V1022">
            <v>0.3890215933381924</v>
          </cell>
          <cell r="W1022">
            <v>0.3907243485329335</v>
          </cell>
          <cell r="X1022">
            <v>0.39191170071917675</v>
          </cell>
          <cell r="Y1022">
            <v>0.39274402018508514</v>
          </cell>
          <cell r="Z1022">
            <v>0.39332976243471673</v>
          </cell>
          <cell r="AA1022">
            <v>0.3937431847858881</v>
          </cell>
          <cell r="AB1022">
            <v>0.3940356143735144</v>
          </cell>
          <cell r="AC1022">
            <v>0.3942427884698294</v>
          </cell>
          <cell r="AD1022">
            <v>0.39438972911877235</v>
          </cell>
          <cell r="AE1022">
            <v>0.394494030747885</v>
          </cell>
          <cell r="AF1022">
            <v>0.39456810499971745</v>
          </cell>
          <cell r="AG1022">
            <v>0.3946207286513927</v>
          </cell>
          <cell r="AH1022">
            <v>0.39465811926546857</v>
          </cell>
          <cell r="AI1022">
            <v>0.3946845279424158</v>
          </cell>
          <cell r="AJ1022">
            <v>0.39470326403443123</v>
          </cell>
          <cell r="AK1022">
            <v>0.39470326403443123</v>
          </cell>
          <cell r="AL1022">
            <v>0.39470326403443123</v>
          </cell>
        </row>
        <row r="1023">
          <cell r="A1023" t="str">
            <v> - номинальная годовая банковская</v>
          </cell>
          <cell r="B1023" t="str">
            <v> - nominal "banking" per year</v>
          </cell>
          <cell r="D1023">
            <v>0.39470326403443123</v>
          </cell>
          <cell r="E1023" t="str">
            <v>on_end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-0.07208927882849825</v>
          </cell>
          <cell r="K1023">
            <v>0.09531297637926683</v>
          </cell>
          <cell r="L1023">
            <v>0.19667708455786428</v>
          </cell>
          <cell r="M1023">
            <v>0.26061444682127766</v>
          </cell>
          <cell r="N1023">
            <v>0.30210698547871817</v>
          </cell>
          <cell r="O1023">
            <v>0.3298498037808837</v>
          </cell>
          <cell r="P1023">
            <v>0.34883792670261204</v>
          </cell>
          <cell r="Q1023">
            <v>0.3620717844941001</v>
          </cell>
          <cell r="R1023">
            <v>0.3714422170487568</v>
          </cell>
          <cell r="S1023">
            <v>0.37816117422893547</v>
          </cell>
          <cell r="T1023">
            <v>0.3830201377448157</v>
          </cell>
          <cell r="U1023">
            <v>0.3865624103927756</v>
          </cell>
          <cell r="V1023">
            <v>0.3890215933381924</v>
          </cell>
          <cell r="W1023">
            <v>0.3907243485329335</v>
          </cell>
          <cell r="X1023">
            <v>0.39191170071917675</v>
          </cell>
          <cell r="Y1023">
            <v>0.39274402018508514</v>
          </cell>
          <cell r="Z1023">
            <v>0.39332976243471673</v>
          </cell>
          <cell r="AA1023">
            <v>0.3937431847858881</v>
          </cell>
          <cell r="AB1023">
            <v>0.3940356143735144</v>
          </cell>
          <cell r="AC1023">
            <v>0.3942427884698294</v>
          </cell>
          <cell r="AD1023">
            <v>0.39438972911877235</v>
          </cell>
          <cell r="AE1023">
            <v>0.394494030747885</v>
          </cell>
          <cell r="AF1023">
            <v>0.39456810499971745</v>
          </cell>
          <cell r="AG1023">
            <v>0.3946207286513927</v>
          </cell>
          <cell r="AH1023">
            <v>0.39465811926546857</v>
          </cell>
          <cell r="AI1023">
            <v>0.3946845279424158</v>
          </cell>
          <cell r="AJ1023">
            <v>0.39470326403443123</v>
          </cell>
          <cell r="AK1023">
            <v>0.39470326403443123</v>
          </cell>
          <cell r="AL1023">
            <v>0.39470326403443123</v>
          </cell>
        </row>
        <row r="1025">
          <cell r="A1025" t="str">
            <v>Норма доходности полных  инвестиционных затрат</v>
          </cell>
          <cell r="B1025" t="str">
            <v>Net present value ratio (NPVR)</v>
          </cell>
          <cell r="D1025">
            <v>1.894792286780171</v>
          </cell>
          <cell r="E1025" t="str">
            <v>on_end</v>
          </cell>
          <cell r="F1025">
            <v>0</v>
          </cell>
          <cell r="G1025">
            <v>0</v>
          </cell>
          <cell r="H1025">
            <v>0.11113762304142076</v>
          </cell>
          <cell r="I1025">
            <v>0.2166183505256713</v>
          </cell>
          <cell r="J1025">
            <v>0.3377599000064414</v>
          </cell>
          <cell r="K1025">
            <v>0.4662026221297156</v>
          </cell>
          <cell r="L1025">
            <v>0.5957952627665324</v>
          </cell>
          <cell r="M1025">
            <v>0.7221775853381764</v>
          </cell>
          <cell r="N1025">
            <v>0.843450935055904</v>
          </cell>
          <cell r="O1025">
            <v>0.9587371706338497</v>
          </cell>
          <cell r="P1025">
            <v>1.0675310847436323</v>
          </cell>
          <cell r="Q1025">
            <v>1.16954330152701</v>
          </cell>
          <cell r="R1025">
            <v>1.2647766969339524</v>
          </cell>
          <cell r="S1025">
            <v>1.353377612554244</v>
          </cell>
          <cell r="T1025">
            <v>1.4354134843347177</v>
          </cell>
          <cell r="U1025">
            <v>1.5112885173541484</v>
          </cell>
          <cell r="V1025">
            <v>1.5765824662558263</v>
          </cell>
          <cell r="W1025">
            <v>1.6316105233413787</v>
          </cell>
          <cell r="X1025">
            <v>1.678011719230082</v>
          </cell>
          <cell r="Y1025">
            <v>1.7171482669120273</v>
          </cell>
          <cell r="Z1025">
            <v>1.7501578637865678</v>
          </cell>
          <cell r="AA1025">
            <v>1.7779937223227023</v>
          </cell>
          <cell r="AB1025">
            <v>1.8014566565118082</v>
          </cell>
          <cell r="AC1025">
            <v>1.8212209982412086</v>
          </cell>
          <cell r="AD1025">
            <v>1.8378556753306479</v>
          </cell>
          <cell r="AE1025">
            <v>1.8518414616771006</v>
          </cell>
          <cell r="AF1025">
            <v>1.86358517394693</v>
          </cell>
          <cell r="AG1025">
            <v>1.8734314140391548</v>
          </cell>
          <cell r="AH1025">
            <v>1.8816723251412961</v>
          </cell>
          <cell r="AI1025">
            <v>1.888856957258165</v>
          </cell>
          <cell r="AJ1025">
            <v>1.894792286780171</v>
          </cell>
          <cell r="AK1025">
            <v>1.894792286780171</v>
          </cell>
          <cell r="AL1025">
            <v>1.894792286780171</v>
          </cell>
        </row>
        <row r="1029">
          <cell r="A1029" t="str">
            <v>Цт=максимальные Постоянные цены</v>
          </cell>
          <cell r="B1029" t="str">
            <v>Цт=максимальные Постоянные цены</v>
          </cell>
          <cell r="AL1029" t="str">
            <v>АЛЬТ-Инвест™ 3.0</v>
          </cell>
        </row>
        <row r="1030">
          <cell r="A1030" t="str">
            <v>ЭФФЕКТИВНОСТЬ ИНВЕСТИРОВАНИЯ СОБСТВЕННЫХ СРЕДСТВ</v>
          </cell>
          <cell r="B1030" t="str">
            <v>EFFICIENCY OF EQUITY INVESTMENTS</v>
          </cell>
          <cell r="F1030" t="str">
            <v>"0"</v>
          </cell>
          <cell r="G1030" t="str">
            <v>1 год</v>
          </cell>
          <cell r="H1030" t="str">
            <v>2 год</v>
          </cell>
          <cell r="I1030" t="str">
            <v>3 год</v>
          </cell>
          <cell r="J1030" t="str">
            <v>4 год</v>
          </cell>
          <cell r="K1030" t="str">
            <v>5 год</v>
          </cell>
          <cell r="L1030" t="str">
            <v>6 год</v>
          </cell>
          <cell r="M1030" t="str">
            <v>7 год</v>
          </cell>
          <cell r="N1030" t="str">
            <v>8 год</v>
          </cell>
          <cell r="O1030" t="str">
            <v>9 год</v>
          </cell>
          <cell r="P1030" t="str">
            <v>10 год</v>
          </cell>
          <cell r="Q1030" t="str">
            <v>11 год</v>
          </cell>
          <cell r="R1030" t="str">
            <v>12 год</v>
          </cell>
          <cell r="S1030" t="str">
            <v>13 год</v>
          </cell>
          <cell r="T1030" t="str">
            <v>14 год</v>
          </cell>
          <cell r="U1030" t="str">
            <v>15 год</v>
          </cell>
          <cell r="V1030" t="str">
            <v>16 год</v>
          </cell>
          <cell r="W1030" t="str">
            <v>17 год</v>
          </cell>
          <cell r="X1030" t="str">
            <v>18 год</v>
          </cell>
          <cell r="Y1030" t="str">
            <v>19 год</v>
          </cell>
          <cell r="Z1030" t="str">
            <v>20 год</v>
          </cell>
          <cell r="AA1030" t="str">
            <v>21 год</v>
          </cell>
          <cell r="AB1030" t="str">
            <v>22 год</v>
          </cell>
          <cell r="AC1030" t="str">
            <v>23 год</v>
          </cell>
          <cell r="AD1030" t="str">
            <v>24 год</v>
          </cell>
          <cell r="AE1030" t="str">
            <v>25 год</v>
          </cell>
          <cell r="AF1030" t="str">
            <v>26 год</v>
          </cell>
          <cell r="AG1030" t="str">
            <v>27 год</v>
          </cell>
          <cell r="AH1030" t="str">
            <v>28 год</v>
          </cell>
          <cell r="AI1030" t="str">
            <v>29 год</v>
          </cell>
          <cell r="AJ1030" t="str">
            <v>30 год</v>
          </cell>
          <cell r="AL1030" t="str">
            <v>ВСЕГО</v>
          </cell>
        </row>
        <row r="1032">
          <cell r="A1032" t="str">
            <v> - выручка от реализации</v>
          </cell>
          <cell r="B1032" t="str">
            <v> - sales revenues</v>
          </cell>
          <cell r="D1032" t="str">
            <v>тыс.руб.</v>
          </cell>
          <cell r="F1032">
            <v>0</v>
          </cell>
          <cell r="G1032">
            <v>0</v>
          </cell>
          <cell r="H1032">
            <v>168618.4120535637</v>
          </cell>
          <cell r="I1032">
            <v>196221.2241071274</v>
          </cell>
          <cell r="J1032">
            <v>230105.58350928724</v>
          </cell>
          <cell r="K1032">
            <v>263989.9429114471</v>
          </cell>
          <cell r="L1032">
            <v>297874.3023136069</v>
          </cell>
          <cell r="M1032">
            <v>324602.5439709719</v>
          </cell>
          <cell r="N1032">
            <v>351330.78562833695</v>
          </cell>
          <cell r="O1032">
            <v>378059.02728570194</v>
          </cell>
          <cell r="P1032">
            <v>404787.26894306706</v>
          </cell>
          <cell r="Q1032">
            <v>431515.51060043194</v>
          </cell>
          <cell r="R1032">
            <v>461169.8296141684</v>
          </cell>
          <cell r="S1032">
            <v>490824.14862790494</v>
          </cell>
          <cell r="T1032">
            <v>520478.4676416415</v>
          </cell>
          <cell r="U1032">
            <v>550132.786655378</v>
          </cell>
          <cell r="V1032">
            <v>550132.786655378</v>
          </cell>
          <cell r="W1032">
            <v>550132.786655378</v>
          </cell>
          <cell r="X1032">
            <v>550132.786655378</v>
          </cell>
          <cell r="Y1032">
            <v>550132.786655378</v>
          </cell>
          <cell r="Z1032">
            <v>550132.786655378</v>
          </cell>
          <cell r="AA1032">
            <v>550132.786655378</v>
          </cell>
          <cell r="AB1032">
            <v>550132.786655378</v>
          </cell>
          <cell r="AC1032">
            <v>550132.786655378</v>
          </cell>
          <cell r="AD1032">
            <v>550132.786655378</v>
          </cell>
          <cell r="AE1032">
            <v>550132.786655378</v>
          </cell>
          <cell r="AF1032">
            <v>550132.786655378</v>
          </cell>
          <cell r="AG1032">
            <v>550132.786655378</v>
          </cell>
          <cell r="AH1032">
            <v>550132.786655378</v>
          </cell>
          <cell r="AI1032">
            <v>550132.786655378</v>
          </cell>
          <cell r="AJ1032">
            <v>550132.786655378</v>
          </cell>
          <cell r="AL1032">
            <v>13321701.633693298</v>
          </cell>
        </row>
        <row r="1033">
          <cell r="A1033" t="str">
            <v> - внереализационные поступления</v>
          </cell>
          <cell r="B1033" t="str">
            <v> - gain on disposal of fixed assets</v>
          </cell>
          <cell r="D1033" t="str">
            <v>тыс.руб.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  <cell r="Y1033">
            <v>0</v>
          </cell>
          <cell r="Z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0</v>
          </cell>
          <cell r="AF1033">
            <v>0</v>
          </cell>
          <cell r="AG1033">
            <v>0</v>
          </cell>
          <cell r="AH1033">
            <v>0</v>
          </cell>
          <cell r="AI1033">
            <v>0</v>
          </cell>
          <cell r="AJ1033">
            <v>0</v>
          </cell>
          <cell r="AL1033">
            <v>0</v>
          </cell>
        </row>
        <row r="1034">
          <cell r="A1034" t="str">
            <v> - целевые финансирование и поступления</v>
          </cell>
          <cell r="B1034" t="str">
            <v> - target financing (financing from a public finance)</v>
          </cell>
          <cell r="D1034" t="str">
            <v>тыс.руб.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  <cell r="AE1034">
            <v>0</v>
          </cell>
          <cell r="AF1034">
            <v>0</v>
          </cell>
          <cell r="AG1034">
            <v>0</v>
          </cell>
          <cell r="AH1034">
            <v>0</v>
          </cell>
          <cell r="AI1034">
            <v>0</v>
          </cell>
          <cell r="AJ1034">
            <v>0</v>
          </cell>
          <cell r="AL1034">
            <v>0</v>
          </cell>
        </row>
        <row r="1035">
          <cell r="A1035" t="str">
            <v> - привлечение кредитов</v>
          </cell>
          <cell r="B1035" t="str">
            <v> - loans obtained</v>
          </cell>
          <cell r="D1035" t="str">
            <v>тыс.руб.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L1035">
            <v>0</v>
          </cell>
        </row>
        <row r="1036">
          <cell r="A1036" t="str">
            <v> = Итого приток средств</v>
          </cell>
          <cell r="B1036" t="str">
            <v> = Cash inflows</v>
          </cell>
          <cell r="D1036" t="str">
            <v>тыс.руб.</v>
          </cell>
          <cell r="F1036">
            <v>0</v>
          </cell>
          <cell r="G1036">
            <v>0</v>
          </cell>
          <cell r="H1036">
            <v>168618.4120535637</v>
          </cell>
          <cell r="I1036">
            <v>196221.2241071274</v>
          </cell>
          <cell r="J1036">
            <v>230105.58350928724</v>
          </cell>
          <cell r="K1036">
            <v>263989.9429114471</v>
          </cell>
          <cell r="L1036">
            <v>297874.3023136069</v>
          </cell>
          <cell r="M1036">
            <v>324602.5439709719</v>
          </cell>
          <cell r="N1036">
            <v>351330.78562833695</v>
          </cell>
          <cell r="O1036">
            <v>378059.02728570194</v>
          </cell>
          <cell r="P1036">
            <v>404787.26894306706</v>
          </cell>
          <cell r="Q1036">
            <v>431515.51060043194</v>
          </cell>
          <cell r="R1036">
            <v>461169.8296141684</v>
          </cell>
          <cell r="S1036">
            <v>490824.14862790494</v>
          </cell>
          <cell r="T1036">
            <v>520478.4676416415</v>
          </cell>
          <cell r="U1036">
            <v>550132.786655378</v>
          </cell>
          <cell r="V1036">
            <v>550132.786655378</v>
          </cell>
          <cell r="W1036">
            <v>550132.786655378</v>
          </cell>
          <cell r="X1036">
            <v>550132.786655378</v>
          </cell>
          <cell r="Y1036">
            <v>550132.786655378</v>
          </cell>
          <cell r="Z1036">
            <v>550132.786655378</v>
          </cell>
          <cell r="AA1036">
            <v>550132.786655378</v>
          </cell>
          <cell r="AB1036">
            <v>550132.786655378</v>
          </cell>
          <cell r="AC1036">
            <v>550132.786655378</v>
          </cell>
          <cell r="AD1036">
            <v>550132.786655378</v>
          </cell>
          <cell r="AE1036">
            <v>550132.786655378</v>
          </cell>
          <cell r="AF1036">
            <v>550132.786655378</v>
          </cell>
          <cell r="AG1036">
            <v>550132.786655378</v>
          </cell>
          <cell r="AH1036">
            <v>550132.786655378</v>
          </cell>
          <cell r="AI1036">
            <v>550132.786655378</v>
          </cell>
          <cell r="AJ1036">
            <v>550132.786655378</v>
          </cell>
          <cell r="AL1036">
            <v>13321701.633693298</v>
          </cell>
        </row>
        <row r="1038">
          <cell r="A1038" t="str">
            <v> - полные инвестиционные затраты вкл. существующие ПА</v>
          </cell>
          <cell r="B1038" t="str">
            <v> - total investment costs incl. existing Fixed Assets</v>
          </cell>
          <cell r="D1038" t="str">
            <v>тыс.руб.</v>
          </cell>
          <cell r="F1038">
            <v>0</v>
          </cell>
          <cell r="G1038">
            <v>-141344.3025255</v>
          </cell>
          <cell r="H1038">
            <v>-20289.810539981027</v>
          </cell>
          <cell r="I1038">
            <v>-10438.614632602876</v>
          </cell>
          <cell r="J1038">
            <v>-11644.66329954307</v>
          </cell>
          <cell r="K1038">
            <v>-12427.84830585598</v>
          </cell>
          <cell r="L1038">
            <v>-13174.892688215969</v>
          </cell>
          <cell r="M1038">
            <v>-12627.645136837826</v>
          </cell>
          <cell r="N1038">
            <v>-12653.029455890046</v>
          </cell>
          <cell r="O1038">
            <v>-12681.882870215026</v>
          </cell>
          <cell r="P1038">
            <v>-12714.965560232198</v>
          </cell>
          <cell r="Q1038">
            <v>-12786.01521859226</v>
          </cell>
          <cell r="R1038">
            <v>-13311.68623319854</v>
          </cell>
          <cell r="S1038">
            <v>-13624.908415515005</v>
          </cell>
          <cell r="T1038">
            <v>-13943.14939222761</v>
          </cell>
          <cell r="U1038">
            <v>-14033.677406563136</v>
          </cell>
          <cell r="V1038">
            <v>-12207.415373688942</v>
          </cell>
          <cell r="W1038">
            <v>-12388.534279843501</v>
          </cell>
          <cell r="X1038">
            <v>-12572.47579684816</v>
          </cell>
          <cell r="Y1038">
            <v>-12761.935559362835</v>
          </cell>
          <cell r="Z1038">
            <v>-12957.079114753134</v>
          </cell>
          <cell r="AA1038">
            <v>-13158.076976804936</v>
          </cell>
          <cell r="AB1038">
            <v>-13365.104774718428</v>
          </cell>
          <cell r="AC1038">
            <v>-13578.343406569307</v>
          </cell>
          <cell r="AD1038">
            <v>-13797.97919737562</v>
          </cell>
          <cell r="AE1038">
            <v>-14024.204061906212</v>
          </cell>
          <cell r="AF1038">
            <v>-14257.215672372753</v>
          </cell>
          <cell r="AG1038">
            <v>-14497.21763115318</v>
          </cell>
          <cell r="AH1038">
            <v>-14744.419648697116</v>
          </cell>
          <cell r="AI1038">
            <v>-14866.893718187253</v>
          </cell>
          <cell r="AJ1038">
            <v>-15249.511447114557</v>
          </cell>
          <cell r="AL1038">
            <v>-532123.4983403664</v>
          </cell>
        </row>
        <row r="1039">
          <cell r="A1039" t="str">
            <v> - общая сумма выплат по кредитам</v>
          </cell>
          <cell r="B1039" t="str">
            <v> - total debt service payments</v>
          </cell>
          <cell r="D1039" t="str">
            <v>тыс.руб.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L1039">
            <v>0</v>
          </cell>
        </row>
        <row r="1040">
          <cell r="A1040" t="str">
            <v> - эксплуатационные расходы</v>
          </cell>
          <cell r="B1040" t="str">
            <v> - operating costs</v>
          </cell>
          <cell r="D1040" t="str">
            <v>тыс.руб.</v>
          </cell>
          <cell r="F1040">
            <v>0</v>
          </cell>
          <cell r="G1040">
            <v>0</v>
          </cell>
          <cell r="H1040">
            <v>-104586.82019999999</v>
          </cell>
          <cell r="I1040">
            <v>-123126.44256</v>
          </cell>
          <cell r="J1040">
            <v>-141866.83164</v>
          </cell>
          <cell r="K1040">
            <v>-160253.22072</v>
          </cell>
          <cell r="L1040">
            <v>-178657.3098</v>
          </cell>
          <cell r="M1040">
            <v>-191523.212064</v>
          </cell>
          <cell r="N1040">
            <v>-204410.81098799998</v>
          </cell>
          <cell r="O1040">
            <v>-217320.75747179997</v>
          </cell>
          <cell r="P1040">
            <v>-230253.72194219395</v>
          </cell>
          <cell r="Q1040">
            <v>-243210.3949387798</v>
          </cell>
          <cell r="R1040">
            <v>-258242.31706934317</v>
          </cell>
          <cell r="S1040">
            <v>-273299.3915753435</v>
          </cell>
          <cell r="T1040">
            <v>-288382.37302804383</v>
          </cell>
          <cell r="U1040">
            <v>-303492.0386358452</v>
          </cell>
          <cell r="V1040">
            <v>-304435.6793074005</v>
          </cell>
          <cell r="W1040">
            <v>-305407.6291991025</v>
          </cell>
          <cell r="X1040">
            <v>-306408.7375875556</v>
          </cell>
          <cell r="Y1040">
            <v>-307439.8792276623</v>
          </cell>
          <cell r="Z1040">
            <v>-308501.95511697215</v>
          </cell>
          <cell r="AA1040">
            <v>-309595.8932829613</v>
          </cell>
          <cell r="AB1040">
            <v>-310722.6495939301</v>
          </cell>
          <cell r="AC1040">
            <v>-311883.208594228</v>
          </cell>
          <cell r="AD1040">
            <v>-313078.5843645349</v>
          </cell>
          <cell r="AE1040">
            <v>-314309.82140795095</v>
          </cell>
          <cell r="AF1040">
            <v>-315577.9955626695</v>
          </cell>
          <cell r="AG1040">
            <v>-316884.21494202956</v>
          </cell>
          <cell r="AH1040">
            <v>-318229.62090277043</v>
          </cell>
          <cell r="AI1040">
            <v>-319615.3890423335</v>
          </cell>
          <cell r="AJ1040">
            <v>-321042.73022608354</v>
          </cell>
          <cell r="AL1040">
            <v>-7601759.630991534</v>
          </cell>
        </row>
        <row r="1041">
          <cell r="A1041" t="str">
            <v> - лизинговые платежи (начисленные)</v>
          </cell>
          <cell r="B1041" t="str">
            <v> - leasing payments (charged)</v>
          </cell>
          <cell r="D1041" t="str">
            <v>тыс.руб.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0</v>
          </cell>
          <cell r="AF1041">
            <v>0</v>
          </cell>
          <cell r="AG1041">
            <v>0</v>
          </cell>
          <cell r="AH1041">
            <v>0</v>
          </cell>
          <cell r="AI1041">
            <v>0</v>
          </cell>
          <cell r="AJ1041">
            <v>0</v>
          </cell>
        </row>
        <row r="1042">
          <cell r="A1042" t="str">
            <v> - коммерческие расходы</v>
          </cell>
          <cell r="B1042" t="str">
            <v> - marketing costs</v>
          </cell>
          <cell r="D1042" t="str">
            <v>тыс.руб.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0</v>
          </cell>
          <cell r="AF1042">
            <v>0</v>
          </cell>
          <cell r="AG1042">
            <v>0</v>
          </cell>
          <cell r="AH1042">
            <v>0</v>
          </cell>
          <cell r="AI1042">
            <v>0</v>
          </cell>
          <cell r="AJ1042">
            <v>0</v>
          </cell>
        </row>
        <row r="1043">
          <cell r="A1043" t="str">
            <v> - прочие текущие затраты</v>
          </cell>
          <cell r="B1043" t="str">
            <v> - other current expenditures</v>
          </cell>
          <cell r="D1043" t="str">
            <v>тыс.руб.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L1043">
            <v>0</v>
          </cell>
        </row>
        <row r="1044">
          <cell r="A1044" t="str">
            <v> - налоговые выплаты</v>
          </cell>
          <cell r="B1044" t="str">
            <v> - tax payments</v>
          </cell>
          <cell r="D1044" t="str">
            <v>тыс.руб.</v>
          </cell>
          <cell r="F1044">
            <v>0</v>
          </cell>
          <cell r="G1044">
            <v>0</v>
          </cell>
          <cell r="H1044">
            <v>-18121.818574263172</v>
          </cell>
          <cell r="I1044">
            <v>-20680.0061163516</v>
          </cell>
          <cell r="J1044">
            <v>-24676.710688001876</v>
          </cell>
          <cell r="K1044">
            <v>-28762.415868348922</v>
          </cell>
          <cell r="L1044">
            <v>-32843.873048695976</v>
          </cell>
          <cell r="M1044">
            <v>-36450.35108278377</v>
          </cell>
          <cell r="N1044">
            <v>-40046.52593741374</v>
          </cell>
          <cell r="O1044">
            <v>-43637.3373776917</v>
          </cell>
          <cell r="P1044">
            <v>-47222.62450118713</v>
          </cell>
          <cell r="Q1044">
            <v>-50802.22157839645</v>
          </cell>
          <cell r="R1044">
            <v>-54621.444369600285</v>
          </cell>
          <cell r="S1044">
            <v>-58436.700249456575</v>
          </cell>
          <cell r="T1044">
            <v>-62245.73846210486</v>
          </cell>
          <cell r="U1044">
            <v>-66048.37247752889</v>
          </cell>
          <cell r="V1044">
            <v>-65775.4774050971</v>
          </cell>
          <cell r="W1044">
            <v>-65475.508847328616</v>
          </cell>
          <cell r="X1044">
            <v>-65168.54225033987</v>
          </cell>
          <cell r="Y1044">
            <v>-64854.36767295428</v>
          </cell>
          <cell r="Z1044">
            <v>-64532.76887575991</v>
          </cell>
          <cell r="AA1044">
            <v>-64203.52313216252</v>
          </cell>
          <cell r="AB1044">
            <v>-63866.40103377</v>
          </cell>
          <cell r="AC1044">
            <v>-63521.1662899385</v>
          </cell>
          <cell r="AD1044">
            <v>-63167.575521304854</v>
          </cell>
          <cell r="AE1044">
            <v>-62805.378047125</v>
          </cell>
          <cell r="AF1044">
            <v>-62434.31566623255</v>
          </cell>
          <cell r="AG1044">
            <v>-62054.122431426134</v>
          </cell>
          <cell r="AH1044">
            <v>-61664.52441708832</v>
          </cell>
          <cell r="AI1044">
            <v>-62322.391548473155</v>
          </cell>
          <cell r="AJ1044">
            <v>-62007.39228113317</v>
          </cell>
          <cell r="AL1044">
            <v>-1538449.5957519587</v>
          </cell>
        </row>
        <row r="1045">
          <cell r="A1045" t="str">
            <v> = Итого отток средств</v>
          </cell>
          <cell r="B1045" t="str">
            <v> = Cash outflows</v>
          </cell>
          <cell r="D1045" t="str">
            <v>тыс.руб.</v>
          </cell>
          <cell r="F1045">
            <v>0</v>
          </cell>
          <cell r="G1045">
            <v>-141344.3025255</v>
          </cell>
          <cell r="H1045">
            <v>-142998.44931424418</v>
          </cell>
          <cell r="I1045">
            <v>-154245.06330895447</v>
          </cell>
          <cell r="J1045">
            <v>-178188.20562754496</v>
          </cell>
          <cell r="K1045">
            <v>-201443.48489420488</v>
          </cell>
          <cell r="L1045">
            <v>-224676.07553691193</v>
          </cell>
          <cell r="M1045">
            <v>-240601.20828362158</v>
          </cell>
          <cell r="N1045">
            <v>-257110.36638130376</v>
          </cell>
          <cell r="O1045">
            <v>-273639.9777197067</v>
          </cell>
          <cell r="P1045">
            <v>-290191.3120036133</v>
          </cell>
          <cell r="Q1045">
            <v>-306798.6317357685</v>
          </cell>
          <cell r="R1045">
            <v>-326175.447672142</v>
          </cell>
          <cell r="S1045">
            <v>-345361.0002403151</v>
          </cell>
          <cell r="T1045">
            <v>-364571.2608823763</v>
          </cell>
          <cell r="U1045">
            <v>-383574.0885199372</v>
          </cell>
          <cell r="V1045">
            <v>-382418.5720861865</v>
          </cell>
          <cell r="W1045">
            <v>-383271.6723262746</v>
          </cell>
          <cell r="X1045">
            <v>-384149.75563474366</v>
          </cell>
          <cell r="Y1045">
            <v>-385056.1824599794</v>
          </cell>
          <cell r="Z1045">
            <v>-385991.8031074852</v>
          </cell>
          <cell r="AA1045">
            <v>-386957.4933919287</v>
          </cell>
          <cell r="AB1045">
            <v>-387954.1554024185</v>
          </cell>
          <cell r="AC1045">
            <v>-388982.71829073585</v>
          </cell>
          <cell r="AD1045">
            <v>-390044.1390832153</v>
          </cell>
          <cell r="AE1045">
            <v>-391139.40351698216</v>
          </cell>
          <cell r="AF1045">
            <v>-392269.52690127474</v>
          </cell>
          <cell r="AG1045">
            <v>-393435.5550046089</v>
          </cell>
          <cell r="AH1045">
            <v>-394638.5649685559</v>
          </cell>
          <cell r="AI1045">
            <v>-396804.6743089939</v>
          </cell>
          <cell r="AJ1045">
            <v>-398299.6339543313</v>
          </cell>
          <cell r="AL1045">
            <v>-9672332.725083862</v>
          </cell>
        </row>
        <row r="1047">
          <cell r="A1047" t="str">
            <v> = Чистый поток денежных средств (ЧПДС)</v>
          </cell>
          <cell r="B1047" t="str">
            <v> = Net cash flow (NCF)</v>
          </cell>
          <cell r="D1047" t="str">
            <v>тыс.руб.</v>
          </cell>
          <cell r="F1047">
            <v>0</v>
          </cell>
          <cell r="G1047">
            <v>-141344.3025255</v>
          </cell>
          <cell r="H1047">
            <v>25619.96273931951</v>
          </cell>
          <cell r="I1047">
            <v>41976.16079817293</v>
          </cell>
          <cell r="J1047">
            <v>51917.377881742286</v>
          </cell>
          <cell r="K1047">
            <v>62546.4580172422</v>
          </cell>
          <cell r="L1047">
            <v>73198.22677669497</v>
          </cell>
          <cell r="M1047">
            <v>84001.3356873503</v>
          </cell>
          <cell r="N1047">
            <v>94220.41924703319</v>
          </cell>
          <cell r="O1047">
            <v>104419.04956599523</v>
          </cell>
          <cell r="P1047">
            <v>114595.95693945378</v>
          </cell>
          <cell r="Q1047">
            <v>124716.87886466342</v>
          </cell>
          <cell r="R1047">
            <v>134994.38194202638</v>
          </cell>
          <cell r="S1047">
            <v>145463.14838758984</v>
          </cell>
          <cell r="T1047">
            <v>155907.20675926522</v>
          </cell>
          <cell r="U1047">
            <v>166558.69813544076</v>
          </cell>
          <cell r="V1047">
            <v>167714.21456919145</v>
          </cell>
          <cell r="W1047">
            <v>166861.11432910332</v>
          </cell>
          <cell r="X1047">
            <v>165983.03102063428</v>
          </cell>
          <cell r="Y1047">
            <v>165076.60419539857</v>
          </cell>
          <cell r="Z1047">
            <v>164140.98354789277</v>
          </cell>
          <cell r="AA1047">
            <v>163175.29326344922</v>
          </cell>
          <cell r="AB1047">
            <v>162178.63125295943</v>
          </cell>
          <cell r="AC1047">
            <v>161150.0683646421</v>
          </cell>
          <cell r="AD1047">
            <v>160088.64757216262</v>
          </cell>
          <cell r="AE1047">
            <v>158993.3831383958</v>
          </cell>
          <cell r="AF1047">
            <v>157863.2597541032</v>
          </cell>
          <cell r="AG1047">
            <v>156697.23165076907</v>
          </cell>
          <cell r="AH1047">
            <v>155494.22168682207</v>
          </cell>
          <cell r="AI1047">
            <v>153328.11234638403</v>
          </cell>
          <cell r="AJ1047">
            <v>151833.15270104667</v>
          </cell>
          <cell r="AK1047">
            <v>413523.5983403665</v>
          </cell>
          <cell r="AL1047">
            <v>4062892.5069498112</v>
          </cell>
        </row>
        <row r="1048">
          <cell r="A1048" t="str">
            <v> = То же, нарастающим итогом</v>
          </cell>
          <cell r="B1048" t="str">
            <v> = Accumulated net cash flow</v>
          </cell>
          <cell r="D1048" t="str">
            <v>тыс.руб.</v>
          </cell>
          <cell r="E1048" t="str">
            <v>on_end</v>
          </cell>
          <cell r="F1048">
            <v>0</v>
          </cell>
          <cell r="G1048">
            <v>-141344.3025255</v>
          </cell>
          <cell r="H1048">
            <v>-115724.3397861805</v>
          </cell>
          <cell r="I1048">
            <v>-73748.17898800757</v>
          </cell>
          <cell r="J1048">
            <v>-21830.80110626528</v>
          </cell>
          <cell r="K1048">
            <v>40715.65691097692</v>
          </cell>
          <cell r="L1048">
            <v>113913.88368767189</v>
          </cell>
          <cell r="M1048">
            <v>197915.2193750222</v>
          </cell>
          <cell r="N1048">
            <v>292135.6386220554</v>
          </cell>
          <cell r="O1048">
            <v>396554.68818805064</v>
          </cell>
          <cell r="P1048">
            <v>511150.6451275044</v>
          </cell>
          <cell r="Q1048">
            <v>635867.5239921678</v>
          </cell>
          <cell r="R1048">
            <v>770861.9059341941</v>
          </cell>
          <cell r="S1048">
            <v>916325.054321784</v>
          </cell>
          <cell r="T1048">
            <v>1072232.2610810492</v>
          </cell>
          <cell r="U1048">
            <v>1238790.95921649</v>
          </cell>
          <cell r="V1048">
            <v>1406505.1737856814</v>
          </cell>
          <cell r="W1048">
            <v>1573366.2881147848</v>
          </cell>
          <cell r="X1048">
            <v>1739349.319135419</v>
          </cell>
          <cell r="Y1048">
            <v>1904425.9233308176</v>
          </cell>
          <cell r="Z1048">
            <v>2068566.9068787103</v>
          </cell>
          <cell r="AA1048">
            <v>2231742.2001421596</v>
          </cell>
          <cell r="AB1048">
            <v>2393920.831395119</v>
          </cell>
          <cell r="AC1048">
            <v>2555070.899759761</v>
          </cell>
          <cell r="AD1048">
            <v>2715159.5473319236</v>
          </cell>
          <cell r="AE1048">
            <v>2874152.9304703195</v>
          </cell>
          <cell r="AF1048">
            <v>3032016.1902244226</v>
          </cell>
          <cell r="AG1048">
            <v>3188713.421875192</v>
          </cell>
          <cell r="AH1048">
            <v>3344207.6435620137</v>
          </cell>
          <cell r="AI1048">
            <v>3497535.755908398</v>
          </cell>
          <cell r="AJ1048">
            <v>3649368.9086094447</v>
          </cell>
          <cell r="AK1048">
            <v>4062892.5069498112</v>
          </cell>
          <cell r="AL1048">
            <v>4062892.5069498112</v>
          </cell>
        </row>
        <row r="1050">
          <cell r="A1050" t="str">
            <v>Ставка сравнения </v>
          </cell>
          <cell r="B1050" t="str">
            <v>Rate of discount</v>
          </cell>
        </row>
        <row r="1051">
          <cell r="A1051" t="str">
            <v> - номинальная годовая банковская</v>
          </cell>
          <cell r="B1051" t="str">
            <v> - nominal "banking" per year</v>
          </cell>
          <cell r="D1051" t="str">
            <v>%</v>
          </cell>
          <cell r="E1051" t="str">
            <v>on_end</v>
          </cell>
          <cell r="F1051">
            <v>0.15</v>
          </cell>
          <cell r="G1051">
            <v>0.15</v>
          </cell>
          <cell r="H1051">
            <v>0.15</v>
          </cell>
          <cell r="I1051">
            <v>0.15</v>
          </cell>
          <cell r="J1051">
            <v>0.15</v>
          </cell>
          <cell r="K1051">
            <v>0.15</v>
          </cell>
          <cell r="L1051">
            <v>0.15</v>
          </cell>
          <cell r="M1051">
            <v>0.15</v>
          </cell>
          <cell r="N1051">
            <v>0.15</v>
          </cell>
          <cell r="O1051">
            <v>0.15</v>
          </cell>
          <cell r="P1051">
            <v>0.15</v>
          </cell>
          <cell r="Q1051">
            <v>0.15</v>
          </cell>
          <cell r="R1051">
            <v>0.15</v>
          </cell>
          <cell r="S1051">
            <v>0.15</v>
          </cell>
          <cell r="T1051">
            <v>0.15</v>
          </cell>
          <cell r="U1051">
            <v>0.15</v>
          </cell>
          <cell r="V1051">
            <v>0.15</v>
          </cell>
          <cell r="W1051">
            <v>0.15</v>
          </cell>
          <cell r="X1051">
            <v>0.15</v>
          </cell>
          <cell r="Y1051">
            <v>0.15</v>
          </cell>
          <cell r="Z1051">
            <v>0.15</v>
          </cell>
          <cell r="AA1051">
            <v>0.15</v>
          </cell>
          <cell r="AB1051">
            <v>0.15</v>
          </cell>
          <cell r="AC1051">
            <v>0.15</v>
          </cell>
          <cell r="AD1051">
            <v>0.15</v>
          </cell>
          <cell r="AE1051">
            <v>0.15</v>
          </cell>
          <cell r="AF1051">
            <v>0.15</v>
          </cell>
          <cell r="AG1051">
            <v>0.15</v>
          </cell>
          <cell r="AH1051">
            <v>0.15</v>
          </cell>
          <cell r="AI1051">
            <v>0.15</v>
          </cell>
          <cell r="AJ1051">
            <v>0.15</v>
          </cell>
          <cell r="AK1051">
            <v>0.15</v>
          </cell>
        </row>
        <row r="1052">
          <cell r="A1052" t="str">
            <v> - реальная годовая банковская</v>
          </cell>
          <cell r="B1052" t="str">
            <v> - real "banking" per year</v>
          </cell>
          <cell r="D1052" t="str">
            <v>%</v>
          </cell>
          <cell r="E1052" t="str">
            <v>on_end</v>
          </cell>
          <cell r="F1052">
            <v>0.1499999999999999</v>
          </cell>
          <cell r="G1052">
            <v>0.1499999999999999</v>
          </cell>
          <cell r="H1052">
            <v>0.1499999999999999</v>
          </cell>
          <cell r="I1052">
            <v>0.1499999999999999</v>
          </cell>
          <cell r="J1052">
            <v>0.1499999999999999</v>
          </cell>
          <cell r="K1052">
            <v>0.1499999999999999</v>
          </cell>
          <cell r="L1052">
            <v>0.1499999999999999</v>
          </cell>
          <cell r="M1052">
            <v>0.1499999999999999</v>
          </cell>
          <cell r="N1052">
            <v>0.1499999999999999</v>
          </cell>
          <cell r="O1052">
            <v>0.1499999999999999</v>
          </cell>
          <cell r="P1052">
            <v>0.1499999999999999</v>
          </cell>
          <cell r="Q1052">
            <v>0.1499999999999999</v>
          </cell>
          <cell r="R1052">
            <v>0.1499999999999999</v>
          </cell>
          <cell r="S1052">
            <v>0.1499999999999999</v>
          </cell>
          <cell r="T1052">
            <v>0.1499999999999999</v>
          </cell>
          <cell r="U1052">
            <v>0.1499999999999999</v>
          </cell>
          <cell r="V1052">
            <v>0.1499999999999999</v>
          </cell>
          <cell r="W1052">
            <v>0.1499999999999999</v>
          </cell>
          <cell r="X1052">
            <v>0.1499999999999999</v>
          </cell>
          <cell r="Y1052">
            <v>0.1499999999999999</v>
          </cell>
          <cell r="Z1052">
            <v>0.1499999999999999</v>
          </cell>
          <cell r="AA1052">
            <v>0.1499999999999999</v>
          </cell>
          <cell r="AB1052">
            <v>0.1499999999999999</v>
          </cell>
          <cell r="AC1052">
            <v>0.1499999999999999</v>
          </cell>
          <cell r="AD1052">
            <v>0.1499999999999999</v>
          </cell>
          <cell r="AE1052">
            <v>0.1499999999999999</v>
          </cell>
          <cell r="AF1052">
            <v>0.1499999999999999</v>
          </cell>
          <cell r="AG1052">
            <v>0.1499999999999999</v>
          </cell>
          <cell r="AH1052">
            <v>0.1499999999999999</v>
          </cell>
          <cell r="AI1052">
            <v>0.1499999999999999</v>
          </cell>
          <cell r="AJ1052">
            <v>0.1499999999999999</v>
          </cell>
          <cell r="AK1052">
            <v>0.1499999999999999</v>
          </cell>
        </row>
        <row r="1053">
          <cell r="A1053" t="str">
            <v> - номинальная годовая эффективная</v>
          </cell>
          <cell r="B1053" t="str">
            <v> - nominal "effective" per year</v>
          </cell>
          <cell r="D1053" t="str">
            <v>%</v>
          </cell>
          <cell r="E1053" t="str">
            <v>on_end</v>
          </cell>
          <cell r="F1053">
            <v>0.1499999999999999</v>
          </cell>
          <cell r="G1053">
            <v>0.1499999999999999</v>
          </cell>
          <cell r="H1053">
            <v>0.1499999999999999</v>
          </cell>
          <cell r="I1053">
            <v>0.1499999999999999</v>
          </cell>
          <cell r="J1053">
            <v>0.1499999999999999</v>
          </cell>
          <cell r="K1053">
            <v>0.1499999999999999</v>
          </cell>
          <cell r="L1053">
            <v>0.1499999999999999</v>
          </cell>
          <cell r="M1053">
            <v>0.1499999999999999</v>
          </cell>
          <cell r="N1053">
            <v>0.1499999999999999</v>
          </cell>
          <cell r="O1053">
            <v>0.1499999999999999</v>
          </cell>
          <cell r="P1053">
            <v>0.1499999999999999</v>
          </cell>
          <cell r="Q1053">
            <v>0.1499999999999999</v>
          </cell>
          <cell r="R1053">
            <v>0.1499999999999999</v>
          </cell>
          <cell r="S1053">
            <v>0.1499999999999999</v>
          </cell>
          <cell r="T1053">
            <v>0.1499999999999999</v>
          </cell>
          <cell r="U1053">
            <v>0.1499999999999999</v>
          </cell>
          <cell r="V1053">
            <v>0.1499999999999999</v>
          </cell>
          <cell r="W1053">
            <v>0.1499999999999999</v>
          </cell>
          <cell r="X1053">
            <v>0.1499999999999999</v>
          </cell>
          <cell r="Y1053">
            <v>0.1499999999999999</v>
          </cell>
          <cell r="Z1053">
            <v>0.1499999999999999</v>
          </cell>
          <cell r="AA1053">
            <v>0.1499999999999999</v>
          </cell>
          <cell r="AB1053">
            <v>0.1499999999999999</v>
          </cell>
          <cell r="AC1053">
            <v>0.1499999999999999</v>
          </cell>
          <cell r="AD1053">
            <v>0.1499999999999999</v>
          </cell>
          <cell r="AE1053">
            <v>0.1499999999999999</v>
          </cell>
          <cell r="AF1053">
            <v>0.1499999999999999</v>
          </cell>
          <cell r="AG1053">
            <v>0.1499999999999999</v>
          </cell>
          <cell r="AH1053">
            <v>0.1499999999999999</v>
          </cell>
          <cell r="AI1053">
            <v>0.1499999999999999</v>
          </cell>
          <cell r="AJ1053">
            <v>0.1499999999999999</v>
          </cell>
          <cell r="AK1053">
            <v>0.1499999999999999</v>
          </cell>
        </row>
        <row r="1054">
          <cell r="A1054" t="str">
            <v> - реальная годовая эффективная</v>
          </cell>
          <cell r="B1054" t="str">
            <v> - real "effective" per year</v>
          </cell>
          <cell r="D1054" t="str">
            <v>%</v>
          </cell>
          <cell r="E1054" t="str">
            <v>on_end</v>
          </cell>
          <cell r="F1054">
            <v>0.1499999999999999</v>
          </cell>
          <cell r="G1054">
            <v>0.1499999999999999</v>
          </cell>
          <cell r="H1054">
            <v>0.1499999999999999</v>
          </cell>
          <cell r="I1054">
            <v>0.1499999999999999</v>
          </cell>
          <cell r="J1054">
            <v>0.1499999999999999</v>
          </cell>
          <cell r="K1054">
            <v>0.1499999999999999</v>
          </cell>
          <cell r="L1054">
            <v>0.1499999999999999</v>
          </cell>
          <cell r="M1054">
            <v>0.1499999999999999</v>
          </cell>
          <cell r="N1054">
            <v>0.1499999999999999</v>
          </cell>
          <cell r="O1054">
            <v>0.1499999999999999</v>
          </cell>
          <cell r="P1054">
            <v>0.1499999999999999</v>
          </cell>
          <cell r="Q1054">
            <v>0.1499999999999999</v>
          </cell>
          <cell r="R1054">
            <v>0.1499999999999999</v>
          </cell>
          <cell r="S1054">
            <v>0.1499999999999999</v>
          </cell>
          <cell r="T1054">
            <v>0.1499999999999999</v>
          </cell>
          <cell r="U1054">
            <v>0.1499999999999999</v>
          </cell>
          <cell r="V1054">
            <v>0.1499999999999999</v>
          </cell>
          <cell r="W1054">
            <v>0.1499999999999999</v>
          </cell>
          <cell r="X1054">
            <v>0.1499999999999999</v>
          </cell>
          <cell r="Y1054">
            <v>0.1499999999999999</v>
          </cell>
          <cell r="Z1054">
            <v>0.1499999999999999</v>
          </cell>
          <cell r="AA1054">
            <v>0.1499999999999999</v>
          </cell>
          <cell r="AB1054">
            <v>0.1499999999999999</v>
          </cell>
          <cell r="AC1054">
            <v>0.1499999999999999</v>
          </cell>
          <cell r="AD1054">
            <v>0.1499999999999999</v>
          </cell>
          <cell r="AE1054">
            <v>0.1499999999999999</v>
          </cell>
          <cell r="AF1054">
            <v>0.1499999999999999</v>
          </cell>
          <cell r="AG1054">
            <v>0.1499999999999999</v>
          </cell>
          <cell r="AH1054">
            <v>0.1499999999999999</v>
          </cell>
          <cell r="AI1054">
            <v>0.1499999999999999</v>
          </cell>
          <cell r="AJ1054">
            <v>0.1499999999999999</v>
          </cell>
          <cell r="AK1054">
            <v>0.1499999999999999</v>
          </cell>
        </row>
        <row r="1055">
          <cell r="A1055" t="str">
            <v> - расчетная на ИП (номинальная)</v>
          </cell>
          <cell r="B1055" t="str">
            <v> - calculated per PI (nominal)</v>
          </cell>
          <cell r="D1055" t="str">
            <v>%</v>
          </cell>
          <cell r="E1055" t="str">
            <v>on_end</v>
          </cell>
          <cell r="F1055">
            <v>0.1499999999999999</v>
          </cell>
          <cell r="G1055">
            <v>0.1499999999999999</v>
          </cell>
          <cell r="H1055">
            <v>0.1499999999999999</v>
          </cell>
          <cell r="I1055">
            <v>0.1499999999999999</v>
          </cell>
          <cell r="J1055">
            <v>0.1499999999999999</v>
          </cell>
          <cell r="K1055">
            <v>0.1499999999999999</v>
          </cell>
          <cell r="L1055">
            <v>0.1499999999999999</v>
          </cell>
          <cell r="M1055">
            <v>0.1499999999999999</v>
          </cell>
          <cell r="N1055">
            <v>0.1499999999999999</v>
          </cell>
          <cell r="O1055">
            <v>0.1499999999999999</v>
          </cell>
          <cell r="P1055">
            <v>0.1499999999999999</v>
          </cell>
          <cell r="Q1055">
            <v>0.1499999999999999</v>
          </cell>
          <cell r="R1055">
            <v>0.1499999999999999</v>
          </cell>
          <cell r="S1055">
            <v>0.1499999999999999</v>
          </cell>
          <cell r="T1055">
            <v>0.1499999999999999</v>
          </cell>
          <cell r="U1055">
            <v>0.1499999999999999</v>
          </cell>
          <cell r="V1055">
            <v>0.1499999999999999</v>
          </cell>
          <cell r="W1055">
            <v>0.1499999999999999</v>
          </cell>
          <cell r="X1055">
            <v>0.1499999999999999</v>
          </cell>
          <cell r="Y1055">
            <v>0.1499999999999999</v>
          </cell>
          <cell r="Z1055">
            <v>0.1499999999999999</v>
          </cell>
          <cell r="AA1055">
            <v>0.1499999999999999</v>
          </cell>
          <cell r="AB1055">
            <v>0.1499999999999999</v>
          </cell>
          <cell r="AC1055">
            <v>0.1499999999999999</v>
          </cell>
          <cell r="AD1055">
            <v>0.1499999999999999</v>
          </cell>
          <cell r="AE1055">
            <v>0.1499999999999999</v>
          </cell>
          <cell r="AF1055">
            <v>0.1499999999999999</v>
          </cell>
          <cell r="AG1055">
            <v>0.1499999999999999</v>
          </cell>
          <cell r="AH1055">
            <v>0.1499999999999999</v>
          </cell>
          <cell r="AI1055">
            <v>0.1499999999999999</v>
          </cell>
          <cell r="AJ1055">
            <v>0.1499999999999999</v>
          </cell>
          <cell r="AK1055">
            <v>0.1499999999999999</v>
          </cell>
        </row>
        <row r="1056">
          <cell r="A1056" t="str">
            <v> - расчетная на ИП (реальная)</v>
          </cell>
          <cell r="B1056" t="str">
            <v> - calculated per PI (real)</v>
          </cell>
          <cell r="D1056" t="str">
            <v>%</v>
          </cell>
          <cell r="E1056" t="str">
            <v>on_end</v>
          </cell>
          <cell r="F1056">
            <v>0.1499999999999999</v>
          </cell>
          <cell r="G1056">
            <v>0.1499999999999999</v>
          </cell>
          <cell r="H1056">
            <v>0.1499999999999999</v>
          </cell>
          <cell r="I1056">
            <v>0.1499999999999999</v>
          </cell>
          <cell r="J1056">
            <v>0.1499999999999999</v>
          </cell>
          <cell r="K1056">
            <v>0.1499999999999999</v>
          </cell>
          <cell r="L1056">
            <v>0.1499999999999999</v>
          </cell>
          <cell r="M1056">
            <v>0.1499999999999999</v>
          </cell>
          <cell r="N1056">
            <v>0.1499999999999999</v>
          </cell>
          <cell r="O1056">
            <v>0.1499999999999999</v>
          </cell>
          <cell r="P1056">
            <v>0.1499999999999999</v>
          </cell>
          <cell r="Q1056">
            <v>0.1499999999999999</v>
          </cell>
          <cell r="R1056">
            <v>0.1499999999999999</v>
          </cell>
          <cell r="S1056">
            <v>0.1499999999999999</v>
          </cell>
          <cell r="T1056">
            <v>0.1499999999999999</v>
          </cell>
          <cell r="U1056">
            <v>0.1499999999999999</v>
          </cell>
          <cell r="V1056">
            <v>0.1499999999999999</v>
          </cell>
          <cell r="W1056">
            <v>0.1499999999999999</v>
          </cell>
          <cell r="X1056">
            <v>0.1499999999999999</v>
          </cell>
          <cell r="Y1056">
            <v>0.1499999999999999</v>
          </cell>
          <cell r="Z1056">
            <v>0.1499999999999999</v>
          </cell>
          <cell r="AA1056">
            <v>0.1499999999999999</v>
          </cell>
          <cell r="AB1056">
            <v>0.1499999999999999</v>
          </cell>
          <cell r="AC1056">
            <v>0.1499999999999999</v>
          </cell>
          <cell r="AD1056">
            <v>0.1499999999999999</v>
          </cell>
          <cell r="AE1056">
            <v>0.1499999999999999</v>
          </cell>
          <cell r="AF1056">
            <v>0.1499999999999999</v>
          </cell>
          <cell r="AG1056">
            <v>0.1499999999999999</v>
          </cell>
          <cell r="AH1056">
            <v>0.1499999999999999</v>
          </cell>
          <cell r="AI1056">
            <v>0.1499999999999999</v>
          </cell>
          <cell r="AJ1056">
            <v>0.1499999999999999</v>
          </cell>
          <cell r="AK1056">
            <v>0.1499999999999999</v>
          </cell>
        </row>
        <row r="1057">
          <cell r="A1057" t="str">
            <v> - расчетная на интервал планирования</v>
          </cell>
          <cell r="B1057" t="str">
            <v> - used in calculations per PI</v>
          </cell>
          <cell r="D1057" t="str">
            <v>%</v>
          </cell>
          <cell r="E1057" t="str">
            <v>on_end</v>
          </cell>
          <cell r="F1057">
            <v>0.1499999999999999</v>
          </cell>
          <cell r="G1057">
            <v>0.1499999999999999</v>
          </cell>
          <cell r="H1057">
            <v>0.1499999999999999</v>
          </cell>
          <cell r="I1057">
            <v>0.1499999999999999</v>
          </cell>
          <cell r="J1057">
            <v>0.1499999999999999</v>
          </cell>
          <cell r="K1057">
            <v>0.1499999999999999</v>
          </cell>
          <cell r="L1057">
            <v>0.1499999999999999</v>
          </cell>
          <cell r="M1057">
            <v>0.1499999999999999</v>
          </cell>
          <cell r="N1057">
            <v>0.1499999999999999</v>
          </cell>
          <cell r="O1057">
            <v>0.1499999999999999</v>
          </cell>
          <cell r="P1057">
            <v>0.1499999999999999</v>
          </cell>
          <cell r="Q1057">
            <v>0.1499999999999999</v>
          </cell>
          <cell r="R1057">
            <v>0.1499999999999999</v>
          </cell>
          <cell r="S1057">
            <v>0.1499999999999999</v>
          </cell>
          <cell r="T1057">
            <v>0.1499999999999999</v>
          </cell>
          <cell r="U1057">
            <v>0.1499999999999999</v>
          </cell>
          <cell r="V1057">
            <v>0.1499999999999999</v>
          </cell>
          <cell r="W1057">
            <v>0.1499999999999999</v>
          </cell>
          <cell r="X1057">
            <v>0.1499999999999999</v>
          </cell>
          <cell r="Y1057">
            <v>0.1499999999999999</v>
          </cell>
          <cell r="Z1057">
            <v>0.1499999999999999</v>
          </cell>
          <cell r="AA1057">
            <v>0.1499999999999999</v>
          </cell>
          <cell r="AB1057">
            <v>0.1499999999999999</v>
          </cell>
          <cell r="AC1057">
            <v>0.1499999999999999</v>
          </cell>
          <cell r="AD1057">
            <v>0.1499999999999999</v>
          </cell>
          <cell r="AE1057">
            <v>0.1499999999999999</v>
          </cell>
          <cell r="AF1057">
            <v>0.1499999999999999</v>
          </cell>
          <cell r="AG1057">
            <v>0.1499999999999999</v>
          </cell>
          <cell r="AH1057">
            <v>0.1499999999999999</v>
          </cell>
          <cell r="AI1057">
            <v>0.1499999999999999</v>
          </cell>
          <cell r="AJ1057">
            <v>0.1499999999999999</v>
          </cell>
          <cell r="AK1057">
            <v>0.1499999999999999</v>
          </cell>
        </row>
        <row r="1059">
          <cell r="A1059" t="str">
            <v>Коэффициент дисконтирования</v>
          </cell>
          <cell r="B1059" t="str">
            <v>Factor of discount</v>
          </cell>
          <cell r="F1059">
            <v>1</v>
          </cell>
          <cell r="G1059">
            <v>0.8695652173913044</v>
          </cell>
          <cell r="H1059">
            <v>0.7561436672967865</v>
          </cell>
          <cell r="I1059">
            <v>0.6575162324319883</v>
          </cell>
          <cell r="J1059">
            <v>0.5717532455930333</v>
          </cell>
          <cell r="K1059">
            <v>0.4971767352982899</v>
          </cell>
          <cell r="L1059">
            <v>0.43232759591155645</v>
          </cell>
          <cell r="M1059">
            <v>0.3759370399230926</v>
          </cell>
          <cell r="N1059">
            <v>0.3269017738461675</v>
          </cell>
          <cell r="O1059">
            <v>0.28426241204014563</v>
          </cell>
          <cell r="P1059">
            <v>0.24718470612186577</v>
          </cell>
          <cell r="Q1059">
            <v>0.2149432227146659</v>
          </cell>
          <cell r="R1059">
            <v>0.186907150186666</v>
          </cell>
          <cell r="S1059">
            <v>0.16252795668405742</v>
          </cell>
          <cell r="T1059">
            <v>0.1413286579861369</v>
          </cell>
          <cell r="U1059">
            <v>0.12289448520533644</v>
          </cell>
          <cell r="V1059">
            <v>0.10686476974377082</v>
          </cell>
          <cell r="W1059">
            <v>0.09292588673371377</v>
          </cell>
          <cell r="X1059">
            <v>0.08080511889888155</v>
          </cell>
          <cell r="Y1059">
            <v>0.07026532078163614</v>
          </cell>
          <cell r="Z1059">
            <v>0.061100278940553164</v>
          </cell>
          <cell r="AA1059">
            <v>0.05313067733961145</v>
          </cell>
          <cell r="AB1059">
            <v>0.04620058899096648</v>
          </cell>
          <cell r="AC1059">
            <v>0.040174425209536076</v>
          </cell>
          <cell r="AD1059">
            <v>0.03493428279090094</v>
          </cell>
          <cell r="AE1059">
            <v>0.03037763720947908</v>
          </cell>
          <cell r="AF1059">
            <v>0.026415336703894853</v>
          </cell>
          <cell r="AG1059">
            <v>0.02296985800338683</v>
          </cell>
          <cell r="AH1059">
            <v>0.019973789568162464</v>
          </cell>
          <cell r="AI1059">
            <v>0.01736851266796736</v>
          </cell>
          <cell r="AJ1059">
            <v>0.015103054493884664</v>
          </cell>
          <cell r="AK1059">
            <v>0.013133090864247535</v>
          </cell>
        </row>
        <row r="1060">
          <cell r="A1060" t="str">
            <v>Дисконтированный ЧПДС</v>
          </cell>
          <cell r="B1060" t="str">
            <v>Present value of net cash flow </v>
          </cell>
          <cell r="D1060" t="str">
            <v>тыс.руб.</v>
          </cell>
          <cell r="F1060">
            <v>0</v>
          </cell>
          <cell r="G1060">
            <v>-122908.08915260872</v>
          </cell>
          <cell r="H1060">
            <v>19372.37258171608</v>
          </cell>
          <cell r="I1060">
            <v>27600.00709997399</v>
          </cell>
          <cell r="J1060">
            <v>29683.92930656611</v>
          </cell>
          <cell r="K1060">
            <v>31096.643801484024</v>
          </cell>
          <cell r="L1060">
            <v>31645.613407357454</v>
          </cell>
          <cell r="M1060">
            <v>31579.21348788851</v>
          </cell>
          <cell r="N1060">
            <v>30800.822184384728</v>
          </cell>
          <cell r="O1060">
            <v>29682.410892569325</v>
          </cell>
          <cell r="P1060">
            <v>28326.367938832867</v>
          </cell>
          <cell r="Q1060">
            <v>26807.047870085356</v>
          </cell>
          <cell r="R1060">
            <v>25231.415219994477</v>
          </cell>
          <cell r="S1060">
            <v>23641.828280264817</v>
          </cell>
          <cell r="T1060">
            <v>22034.156301654122</v>
          </cell>
          <cell r="U1060">
            <v>20469.145463826022</v>
          </cell>
          <cell r="V1060">
            <v>17922.740922694018</v>
          </cell>
          <cell r="W1060">
            <v>15505.71701040752</v>
          </cell>
          <cell r="X1060">
            <v>13412.278556819098</v>
          </cell>
          <cell r="Y1060">
            <v>11599.160547332862</v>
          </cell>
          <cell r="Z1060">
            <v>10029.059880352996</v>
          </cell>
          <cell r="AA1060">
            <v>8669.613856176795</v>
          </cell>
          <cell r="AB1060">
            <v>7492.74828563549</v>
          </cell>
          <cell r="AC1060">
            <v>6474.111369026939</v>
          </cell>
          <cell r="AD1060">
            <v>5592.582085898806</v>
          </cell>
          <cell r="AE1060">
            <v>4829.843311685895</v>
          </cell>
          <cell r="AF1060">
            <v>4170.0111595790495</v>
          </cell>
          <cell r="AG1060">
            <v>3599.3131605419785</v>
          </cell>
          <cell r="AH1060">
            <v>3105.8088630377883</v>
          </cell>
          <cell r="AI1060">
            <v>2663.081261643694</v>
          </cell>
          <cell r="AJ1060">
            <v>2293.1443792222194</v>
          </cell>
          <cell r="AK1060">
            <v>5430.842991514634</v>
          </cell>
          <cell r="AL1060">
            <v>377852.9423255589</v>
          </cell>
        </row>
        <row r="1061">
          <cell r="A1061" t="str">
            <v>То же, нарастающим итогом</v>
          </cell>
          <cell r="B1061" t="str">
            <v>The same, accumulated </v>
          </cell>
          <cell r="D1061" t="str">
            <v>тыс.руб.</v>
          </cell>
          <cell r="E1061" t="str">
            <v>on_end</v>
          </cell>
          <cell r="F1061">
            <v>0</v>
          </cell>
          <cell r="G1061">
            <v>-122908.08915260872</v>
          </cell>
          <cell r="H1061">
            <v>-103535.71657089263</v>
          </cell>
          <cell r="I1061">
            <v>-75935.70947091863</v>
          </cell>
          <cell r="J1061">
            <v>-46251.78016435252</v>
          </cell>
          <cell r="K1061">
            <v>-15155.1363628685</v>
          </cell>
          <cell r="L1061">
            <v>16490.477044488955</v>
          </cell>
          <cell r="M1061">
            <v>48069.69053237747</v>
          </cell>
          <cell r="N1061">
            <v>78870.5127167622</v>
          </cell>
          <cell r="O1061">
            <v>108552.92360933153</v>
          </cell>
          <cell r="P1061">
            <v>136879.2915481644</v>
          </cell>
          <cell r="Q1061">
            <v>163686.33941824973</v>
          </cell>
          <cell r="R1061">
            <v>188917.7546382442</v>
          </cell>
          <cell r="S1061">
            <v>212559.58291850903</v>
          </cell>
          <cell r="T1061">
            <v>234593.73922016314</v>
          </cell>
          <cell r="U1061">
            <v>255062.88468398916</v>
          </cell>
          <cell r="V1061">
            <v>272985.6256066832</v>
          </cell>
          <cell r="W1061">
            <v>288491.34261709073</v>
          </cell>
          <cell r="X1061">
            <v>301903.6211739098</v>
          </cell>
          <cell r="Y1061">
            <v>313502.78172124265</v>
          </cell>
          <cell r="Z1061">
            <v>323531.84160159563</v>
          </cell>
          <cell r="AA1061">
            <v>332201.4554577724</v>
          </cell>
          <cell r="AB1061">
            <v>339694.2037434079</v>
          </cell>
          <cell r="AC1061">
            <v>346168.31511243485</v>
          </cell>
          <cell r="AD1061">
            <v>351760.89719833364</v>
          </cell>
          <cell r="AE1061">
            <v>356590.74051001953</v>
          </cell>
          <cell r="AF1061">
            <v>360760.75166959857</v>
          </cell>
          <cell r="AG1061">
            <v>364360.06483014056</v>
          </cell>
          <cell r="AH1061">
            <v>367465.87369317835</v>
          </cell>
          <cell r="AI1061">
            <v>370128.954954822</v>
          </cell>
          <cell r="AJ1061">
            <v>372422.09933404427</v>
          </cell>
          <cell r="AK1061">
            <v>377852.9423255589</v>
          </cell>
          <cell r="AL1061">
            <v>377852.9423255589</v>
          </cell>
        </row>
        <row r="1063">
          <cell r="A1063" t="str">
            <v>Дисконтированная остаточная стоимость проекта</v>
          </cell>
          <cell r="B1063" t="str">
            <v>Present salvage value of the project</v>
          </cell>
          <cell r="D1063" t="str">
            <v>тыс.руб.</v>
          </cell>
          <cell r="E1063" t="str">
            <v>on_end</v>
          </cell>
          <cell r="F1063">
            <v>0</v>
          </cell>
          <cell r="G1063">
            <v>122908.08915260872</v>
          </cell>
          <cell r="H1063">
            <v>118900.50417049607</v>
          </cell>
          <cell r="I1063">
            <v>107369.9910236436</v>
          </cell>
          <cell r="J1063">
            <v>97514.11814430452</v>
          </cell>
          <cell r="K1063">
            <v>88792.01328007932</v>
          </cell>
          <cell r="L1063">
            <v>81009.17765602595</v>
          </cell>
          <cell r="M1063">
            <v>73540.27718547157</v>
          </cell>
          <cell r="N1063">
            <v>66649.85573700443</v>
          </cell>
          <cell r="O1063">
            <v>60313.97964220162</v>
          </cell>
          <cell r="P1063">
            <v>54505.188831840846</v>
          </cell>
          <cell r="Q1063">
            <v>49200.870637650194</v>
          </cell>
          <cell r="R1063">
            <v>44451.229845003276</v>
          </cell>
          <cell r="S1063">
            <v>40154.467290094646</v>
          </cell>
          <cell r="T1063">
            <v>36267.31677598819</v>
          </cell>
          <cell r="U1063">
            <v>32722.17363166035</v>
          </cell>
          <cell r="V1063">
            <v>29289.663073416614</v>
          </cell>
          <cell r="W1063">
            <v>26212.710738699945</v>
          </cell>
          <cell r="X1063">
            <v>23454.993189757493</v>
          </cell>
          <cell r="Y1063">
            <v>20984.02972716395</v>
          </cell>
          <cell r="Z1063">
            <v>18770.54350163724</v>
          </cell>
          <cell r="AA1063">
            <v>16788.16144110034</v>
          </cell>
          <cell r="AB1063">
            <v>15013.139711980722</v>
          </cell>
          <cell r="AC1063">
            <v>13424.112974972044</v>
          </cell>
          <cell r="AD1063">
            <v>12001.865734104902</v>
          </cell>
          <cell r="AE1063">
            <v>10729.124134117086</v>
          </cell>
          <cell r="AF1063">
            <v>9590.366629760301</v>
          </cell>
          <cell r="AG1063">
            <v>8571.652027799626</v>
          </cell>
          <cell r="AH1063">
            <v>7660.463484843965</v>
          </cell>
          <cell r="AI1063">
            <v>6917.42852352858</v>
          </cell>
          <cell r="AJ1063">
            <v>6245.469440241829</v>
          </cell>
          <cell r="AK1063">
            <v>6245.469440241829</v>
          </cell>
          <cell r="AL1063">
            <v>6245.469440241829</v>
          </cell>
        </row>
        <row r="1065">
          <cell r="A1065" t="str">
            <v>Дисконтированная стоимость инвестиционных затрат</v>
          </cell>
          <cell r="B1065" t="str">
            <v>Present value of investment costs (PVI) </v>
          </cell>
          <cell r="D1065" t="str">
            <v>тыс.руб.</v>
          </cell>
          <cell r="F1065">
            <v>0</v>
          </cell>
          <cell r="G1065">
            <v>-122908.08915260872</v>
          </cell>
          <cell r="H1065">
            <v>-15342.011750458245</v>
          </cell>
          <cell r="I1065">
            <v>-6863.558565038466</v>
          </cell>
          <cell r="J1065">
            <v>-6657.874035351831</v>
          </cell>
          <cell r="K1065">
            <v>-6178.837047487858</v>
          </cell>
          <cell r="L1065">
            <v>-5695.8696822891525</v>
          </cell>
          <cell r="M1065">
            <v>-4747.199533942047</v>
          </cell>
          <cell r="N1065">
            <v>-4136.297773658263</v>
          </cell>
          <cell r="O1065">
            <v>-3604.9826138979283</v>
          </cell>
          <cell r="P1065">
            <v>-3142.94502535564</v>
          </cell>
          <cell r="Q1065">
            <v>-2748.2673167629837</v>
          </cell>
          <cell r="R1065">
            <v>-2488.0493380262137</v>
          </cell>
          <cell r="S1065">
            <v>-2214.428524781072</v>
          </cell>
          <cell r="T1065">
            <v>-1970.5665917037484</v>
          </cell>
          <cell r="U1065">
            <v>-1724.6615604173376</v>
          </cell>
          <cell r="V1065">
            <v>-1304.5426330758369</v>
          </cell>
          <cell r="W1065">
            <v>-1151.2155332854675</v>
          </cell>
          <cell r="X1065">
            <v>-1015.9204016176261</v>
          </cell>
          <cell r="Y1065">
            <v>-896.7214958731986</v>
          </cell>
          <cell r="Z1065">
            <v>-791.6811481662322</v>
          </cell>
          <cell r="AA1065">
            <v>-699.0975422643932</v>
          </cell>
          <cell r="AB1065">
            <v>-617.4757125179698</v>
          </cell>
          <cell r="AC1065">
            <v>-545.5021416566159</v>
          </cell>
          <cell r="AD1065">
            <v>-482.02250722408826</v>
          </cell>
          <cell r="AE1065">
            <v>-426.0221831442898</v>
          </cell>
          <cell r="AF1065">
            <v>-376.6091524457729</v>
          </cell>
          <cell r="AG1065">
            <v>-332.99903043178455</v>
          </cell>
          <cell r="AH1065">
            <v>-294.5019353677561</v>
          </cell>
          <cell r="AI1065">
            <v>-258.2158318776597</v>
          </cell>
          <cell r="AJ1065">
            <v>-230.31420239088914</v>
          </cell>
          <cell r="AL1065">
            <v>-199846.4799631191</v>
          </cell>
        </row>
        <row r="1066">
          <cell r="A1066" t="str">
            <v>То же, нарастающим итогом</v>
          </cell>
          <cell r="B1066" t="str">
            <v>The same, accumulated </v>
          </cell>
          <cell r="D1066" t="str">
            <v>тыс.руб.</v>
          </cell>
          <cell r="E1066" t="str">
            <v>on_end</v>
          </cell>
          <cell r="F1066">
            <v>0</v>
          </cell>
          <cell r="G1066">
            <v>-122908.08915260872</v>
          </cell>
          <cell r="H1066">
            <v>-138250.10090306698</v>
          </cell>
          <cell r="I1066">
            <v>-145113.65946810544</v>
          </cell>
          <cell r="J1066">
            <v>-151771.53350345726</v>
          </cell>
          <cell r="K1066">
            <v>-157950.3705509451</v>
          </cell>
          <cell r="L1066">
            <v>-163646.24023323428</v>
          </cell>
          <cell r="M1066">
            <v>-168393.4397671763</v>
          </cell>
          <cell r="N1066">
            <v>-172529.73754083458</v>
          </cell>
          <cell r="O1066">
            <v>-176134.72015473252</v>
          </cell>
          <cell r="P1066">
            <v>-179277.66518008817</v>
          </cell>
          <cell r="Q1066">
            <v>-182025.93249685114</v>
          </cell>
          <cell r="R1066">
            <v>-184513.98183487734</v>
          </cell>
          <cell r="S1066">
            <v>-186728.41035965842</v>
          </cell>
          <cell r="T1066">
            <v>-188698.97695136216</v>
          </cell>
          <cell r="U1066">
            <v>-190423.63851177949</v>
          </cell>
          <cell r="V1066">
            <v>-191728.18114485533</v>
          </cell>
          <cell r="W1066">
            <v>-192879.3966781408</v>
          </cell>
          <cell r="X1066">
            <v>-193895.31707975842</v>
          </cell>
          <cell r="Y1066">
            <v>-194792.03857563162</v>
          </cell>
          <cell r="Z1066">
            <v>-195583.71972379787</v>
          </cell>
          <cell r="AA1066">
            <v>-196282.81726606225</v>
          </cell>
          <cell r="AB1066">
            <v>-196900.29297858023</v>
          </cell>
          <cell r="AC1066">
            <v>-197445.79512023684</v>
          </cell>
          <cell r="AD1066">
            <v>-197927.81762746093</v>
          </cell>
          <cell r="AE1066">
            <v>-198353.83981060522</v>
          </cell>
          <cell r="AF1066">
            <v>-198730.448963051</v>
          </cell>
          <cell r="AG1066">
            <v>-199063.44799348278</v>
          </cell>
          <cell r="AH1066">
            <v>-199357.94992885055</v>
          </cell>
          <cell r="AI1066">
            <v>-199616.1657607282</v>
          </cell>
          <cell r="AJ1066">
            <v>-199846.4799631191</v>
          </cell>
          <cell r="AK1066">
            <v>-199846.4799631191</v>
          </cell>
          <cell r="AL1066">
            <v>-199846.4799631191</v>
          </cell>
        </row>
        <row r="1068">
          <cell r="A1068" t="str">
            <v>ПОКАЗАТЕЛИ ЭФФЕКТИВНОСТИ ИНВЕСТИРОВАНИЯ СОБСТВЕННЫХ СРЕДСТВ</v>
          </cell>
          <cell r="B1068" t="str">
            <v>EQUITY INVESTMENT EFFICIENCY INDICATORS</v>
          </cell>
        </row>
        <row r="1070">
          <cell r="A1070" t="str">
            <v>№ ИП достижения окупаемости 1</v>
          </cell>
          <cell r="B1070" t="str">
            <v>№ PI for pay-back achieved 1</v>
          </cell>
          <cell r="C1070" t="str">
            <v>год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6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X1070">
            <v>0</v>
          </cell>
          <cell r="Y1070">
            <v>0</v>
          </cell>
          <cell r="Z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0</v>
          </cell>
          <cell r="AE1070">
            <v>0</v>
          </cell>
          <cell r="AF1070">
            <v>0</v>
          </cell>
          <cell r="AG1070">
            <v>0</v>
          </cell>
          <cell r="AH1070">
            <v>0</v>
          </cell>
          <cell r="AI1070">
            <v>0</v>
          </cell>
          <cell r="AJ1070">
            <v>0</v>
          </cell>
          <cell r="AK1070">
            <v>0</v>
          </cell>
          <cell r="AL1070">
            <v>6</v>
          </cell>
        </row>
        <row r="1071">
          <cell r="A1071" t="str">
            <v>Простой срок окупаемости</v>
          </cell>
          <cell r="B1071" t="str">
            <v>Simple pay-back period</v>
          </cell>
          <cell r="C1071" t="str">
            <v>лет</v>
          </cell>
          <cell r="D1071">
            <v>4.349033371326113</v>
          </cell>
          <cell r="F1071" t="str">
            <v/>
          </cell>
        </row>
        <row r="1072">
          <cell r="A1072" t="str">
            <v>№ ИП достижения окупаемости 2</v>
          </cell>
          <cell r="B1072" t="str">
            <v>№ PI for pay-back achieved 2</v>
          </cell>
          <cell r="C1072" t="str">
            <v>год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7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7</v>
          </cell>
        </row>
        <row r="1073">
          <cell r="A1073" t="str">
            <v>Дисконтированный срок окупаемости</v>
          </cell>
          <cell r="B1073" t="str">
            <v>Discounted pay-back period</v>
          </cell>
          <cell r="C1073" t="str">
            <v>лет</v>
          </cell>
          <cell r="D1073">
            <v>5.478901646423608</v>
          </cell>
          <cell r="F1073" t="str">
            <v/>
          </cell>
        </row>
        <row r="1075">
          <cell r="A1075" t="str">
            <v>NPV (чистая текущая стоимость проекта)</v>
          </cell>
          <cell r="B1075" t="str">
            <v>Net present value (NPV)</v>
          </cell>
          <cell r="C1075" t="str">
            <v>тыс.руб.</v>
          </cell>
          <cell r="D1075">
            <v>377852.9423255589</v>
          </cell>
          <cell r="E1075" t="str">
            <v>on_end</v>
          </cell>
          <cell r="F1075">
            <v>0</v>
          </cell>
          <cell r="G1075">
            <v>0</v>
          </cell>
          <cell r="H1075">
            <v>15364.787599603442</v>
          </cell>
          <cell r="I1075">
            <v>31434.281552724962</v>
          </cell>
          <cell r="J1075">
            <v>51262.337979952</v>
          </cell>
          <cell r="K1075">
            <v>73636.87691721082</v>
          </cell>
          <cell r="L1075">
            <v>97499.6547005149</v>
          </cell>
          <cell r="M1075">
            <v>121609.96771784904</v>
          </cell>
          <cell r="N1075">
            <v>145520.36845376663</v>
          </cell>
          <cell r="O1075">
            <v>168866.90325153316</v>
          </cell>
          <cell r="P1075">
            <v>191384.48038000523</v>
          </cell>
          <cell r="Q1075">
            <v>212887.21005589992</v>
          </cell>
          <cell r="R1075">
            <v>233368.98448324748</v>
          </cell>
          <cell r="S1075">
            <v>252714.05020860367</v>
          </cell>
          <cell r="T1075">
            <v>270861.05599615135</v>
          </cell>
          <cell r="U1075">
            <v>287785.0583156495</v>
          </cell>
          <cell r="V1075">
            <v>302275.2886800998</v>
          </cell>
          <cell r="W1075">
            <v>314704.0533557907</v>
          </cell>
          <cell r="X1075">
            <v>325358.6143636673</v>
          </cell>
          <cell r="Y1075">
            <v>334486.8114484066</v>
          </cell>
          <cell r="Z1075">
            <v>342302.38510323287</v>
          </cell>
          <cell r="AA1075">
            <v>348989.6168988728</v>
          </cell>
          <cell r="AB1075">
            <v>354707.3434553886</v>
          </cell>
          <cell r="AC1075">
            <v>359592.4280874069</v>
          </cell>
          <cell r="AD1075">
            <v>363762.7629324385</v>
          </cell>
          <cell r="AE1075">
            <v>367319.8646441366</v>
          </cell>
          <cell r="AF1075">
            <v>370351.1182993589</v>
          </cell>
          <cell r="AG1075">
            <v>372931.7168579402</v>
          </cell>
          <cell r="AH1075">
            <v>375126.3371780223</v>
          </cell>
          <cell r="AI1075">
            <v>377046.3834783506</v>
          </cell>
          <cell r="AJ1075">
            <v>378667.5687742861</v>
          </cell>
          <cell r="AK1075">
            <v>378667.5687742861</v>
          </cell>
          <cell r="AL1075">
            <v>378667.5687742861</v>
          </cell>
        </row>
        <row r="1077">
          <cell r="A1077" t="str">
            <v>IRR (внутренняя норма доходности)</v>
          </cell>
          <cell r="B1077" t="str">
            <v>Internal rate of return (IRR)</v>
          </cell>
        </row>
        <row r="1078">
          <cell r="A1078" t="str">
            <v> - расчетная на интервал планирования</v>
          </cell>
          <cell r="B1078" t="str">
            <v> - calculated per PI</v>
          </cell>
          <cell r="D1078">
            <v>0.3947398148811461</v>
          </cell>
          <cell r="AK1078">
            <v>0.3947398148811461</v>
          </cell>
          <cell r="AL1078">
            <v>0.3947398148811461</v>
          </cell>
        </row>
        <row r="1079">
          <cell r="A1079" t="str">
            <v> - расчетная на ИП (реальная)</v>
          </cell>
          <cell r="B1079" t="str">
            <v> - calculated per PI (real)</v>
          </cell>
          <cell r="D1079">
            <v>0.3947398148811461</v>
          </cell>
          <cell r="AK1079">
            <v>0.3947398148811461</v>
          </cell>
          <cell r="AL1079">
            <v>0.3947398148811461</v>
          </cell>
        </row>
        <row r="1080">
          <cell r="A1080" t="str">
            <v> - расчетная на ИП (номинальная)</v>
          </cell>
          <cell r="B1080" t="str">
            <v> - calculated per PI (nominal)</v>
          </cell>
          <cell r="D1080">
            <v>0.3947398148811461</v>
          </cell>
          <cell r="AK1080">
            <v>0.3947398148811461</v>
          </cell>
          <cell r="AL1080">
            <v>0.3947398148811461</v>
          </cell>
        </row>
        <row r="1081">
          <cell r="A1081" t="str">
            <v> - номинальная годовая эффективная</v>
          </cell>
          <cell r="B1081" t="str">
            <v> - nominal "effective" per year</v>
          </cell>
          <cell r="D1081">
            <v>0.39473981488114607</v>
          </cell>
          <cell r="AK1081">
            <v>0.39473981488114607</v>
          </cell>
          <cell r="AL1081">
            <v>0.39473981488114607</v>
          </cell>
        </row>
        <row r="1082">
          <cell r="A1082" t="str">
            <v> - реальная годовая эффективная</v>
          </cell>
          <cell r="B1082" t="str">
            <v> - real "effective" per year</v>
          </cell>
          <cell r="D1082">
            <v>0.39473981488114607</v>
          </cell>
          <cell r="AK1082">
            <v>0.39473981488114607</v>
          </cell>
          <cell r="AL1082">
            <v>0.39473981488114607</v>
          </cell>
        </row>
        <row r="1083">
          <cell r="A1083" t="str">
            <v> - реальная годовая банковская</v>
          </cell>
          <cell r="B1083" t="str">
            <v> - real "banking" per year</v>
          </cell>
          <cell r="D1083">
            <v>0.39473981488114607</v>
          </cell>
          <cell r="AK1083">
            <v>0.39473981488114607</v>
          </cell>
          <cell r="AL1083">
            <v>0.39473981488114607</v>
          </cell>
        </row>
        <row r="1084">
          <cell r="A1084" t="str">
            <v> - номинальная годовая банковская</v>
          </cell>
          <cell r="B1084" t="str">
            <v> - nominal "banking" per year</v>
          </cell>
          <cell r="D1084">
            <v>0.39473981488114607</v>
          </cell>
          <cell r="AK1084">
            <v>0.39473981488114607</v>
          </cell>
          <cell r="AL1084">
            <v>0.39473981488114607</v>
          </cell>
        </row>
        <row r="1086">
          <cell r="A1086" t="str">
            <v>Норма доходности на инвестированный капитал</v>
          </cell>
          <cell r="B1086" t="str">
            <v>Net present value ratio (NPVR)</v>
          </cell>
          <cell r="D1086">
            <v>1.894792286780171</v>
          </cell>
          <cell r="E1086" t="str">
            <v>on_end</v>
          </cell>
          <cell r="F1086">
            <v>0</v>
          </cell>
          <cell r="G1086">
            <v>0</v>
          </cell>
          <cell r="H1086">
            <v>0.11113762304142076</v>
          </cell>
          <cell r="I1086">
            <v>0.2166183505256713</v>
          </cell>
          <cell r="J1086">
            <v>0.3377599000064414</v>
          </cell>
          <cell r="K1086">
            <v>0.4662026221297156</v>
          </cell>
          <cell r="L1086">
            <v>0.5957952627665324</v>
          </cell>
          <cell r="M1086">
            <v>0.7221775853381764</v>
          </cell>
          <cell r="N1086">
            <v>0.843450935055904</v>
          </cell>
          <cell r="O1086">
            <v>0.9587371706338497</v>
          </cell>
          <cell r="P1086">
            <v>1.0675310847436323</v>
          </cell>
          <cell r="Q1086">
            <v>1.16954330152701</v>
          </cell>
          <cell r="R1086">
            <v>1.2647766969339524</v>
          </cell>
          <cell r="S1086">
            <v>1.353377612554244</v>
          </cell>
          <cell r="T1086">
            <v>1.4354134843347177</v>
          </cell>
          <cell r="U1086">
            <v>1.5112885173541484</v>
          </cell>
          <cell r="V1086">
            <v>1.5765824662558263</v>
          </cell>
          <cell r="W1086">
            <v>1.6316105233413787</v>
          </cell>
          <cell r="X1086">
            <v>1.678011719230082</v>
          </cell>
          <cell r="Y1086">
            <v>1.7171482669120273</v>
          </cell>
          <cell r="Z1086">
            <v>1.7501578637865678</v>
          </cell>
          <cell r="AA1086">
            <v>1.7779937223227023</v>
          </cell>
          <cell r="AB1086">
            <v>1.8014566565118082</v>
          </cell>
          <cell r="AC1086">
            <v>1.8212209982412086</v>
          </cell>
          <cell r="AD1086">
            <v>1.8378556753306479</v>
          </cell>
          <cell r="AE1086">
            <v>1.8518414616771006</v>
          </cell>
          <cell r="AF1086">
            <v>1.86358517394693</v>
          </cell>
          <cell r="AG1086">
            <v>1.8734314140391548</v>
          </cell>
          <cell r="AH1086">
            <v>1.8816723251412961</v>
          </cell>
          <cell r="AI1086">
            <v>1.888856957258165</v>
          </cell>
          <cell r="AJ1086">
            <v>1.894792286780171</v>
          </cell>
          <cell r="AK1086">
            <v>1.894792286780171</v>
          </cell>
          <cell r="AL1086">
            <v>1.894792286780171</v>
          </cell>
        </row>
        <row r="1090">
          <cell r="A1090" t="str">
            <v>Цт=максимальные Постоянные цены</v>
          </cell>
          <cell r="B1090" t="str">
            <v>Цт=максимальные Постоянные цены</v>
          </cell>
          <cell r="AL1090" t="str">
            <v>АЛЬТ-Инвест™ 3.0</v>
          </cell>
        </row>
        <row r="1091">
          <cell r="A1091" t="str">
            <v>БЮДЖЕТНАЯ ЭФФЕКТИВНОСТЬ</v>
          </cell>
          <cell r="B1091" t="str">
            <v>BUDGET EFFECTIVENESS</v>
          </cell>
          <cell r="F1091" t="str">
            <v>"0"</v>
          </cell>
          <cell r="G1091" t="str">
            <v>1 год</v>
          </cell>
          <cell r="H1091" t="str">
            <v>2 год</v>
          </cell>
          <cell r="I1091" t="str">
            <v>3 год</v>
          </cell>
          <cell r="J1091" t="str">
            <v>4 год</v>
          </cell>
          <cell r="K1091" t="str">
            <v>5 год</v>
          </cell>
          <cell r="L1091" t="str">
            <v>6 год</v>
          </cell>
          <cell r="M1091" t="str">
            <v>7 год</v>
          </cell>
          <cell r="N1091" t="str">
            <v>8 год</v>
          </cell>
          <cell r="O1091" t="str">
            <v>9 год</v>
          </cell>
          <cell r="P1091" t="str">
            <v>10 год</v>
          </cell>
          <cell r="Q1091" t="str">
            <v>11 год</v>
          </cell>
          <cell r="R1091" t="str">
            <v>12 год</v>
          </cell>
          <cell r="S1091" t="str">
            <v>13 год</v>
          </cell>
          <cell r="T1091" t="str">
            <v>14 год</v>
          </cell>
          <cell r="U1091" t="str">
            <v>15 год</v>
          </cell>
          <cell r="V1091" t="str">
            <v>16 год</v>
          </cell>
          <cell r="W1091" t="str">
            <v>17 год</v>
          </cell>
          <cell r="X1091" t="str">
            <v>18 год</v>
          </cell>
          <cell r="Y1091" t="str">
            <v>19 год</v>
          </cell>
          <cell r="Z1091" t="str">
            <v>20 год</v>
          </cell>
          <cell r="AA1091" t="str">
            <v>21 год</v>
          </cell>
          <cell r="AB1091" t="str">
            <v>22 год</v>
          </cell>
          <cell r="AC1091" t="str">
            <v>23 год</v>
          </cell>
          <cell r="AD1091" t="str">
            <v>24 год</v>
          </cell>
          <cell r="AE1091" t="str">
            <v>25 год</v>
          </cell>
          <cell r="AF1091" t="str">
            <v>26 год</v>
          </cell>
          <cell r="AG1091" t="str">
            <v>27 год</v>
          </cell>
          <cell r="AH1091" t="str">
            <v>28 год</v>
          </cell>
          <cell r="AI1091" t="str">
            <v>29 год</v>
          </cell>
          <cell r="AJ1091" t="str">
            <v>30 год</v>
          </cell>
          <cell r="AL1091" t="str">
            <v>ВСЕГО</v>
          </cell>
        </row>
        <row r="1092">
          <cell r="D1092" t="str">
            <v>доля в фед. 
бюджет</v>
          </cell>
        </row>
        <row r="1093">
          <cell r="A1093" t="str">
            <v>Налог на добавленную стоимость</v>
          </cell>
          <cell r="B1093" t="str">
            <v>Value added tax (VAT)</v>
          </cell>
          <cell r="D1093">
            <v>0.75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L1093">
            <v>0</v>
          </cell>
        </row>
        <row r="1095">
          <cell r="A1095" t="str">
            <v>Экспортная пошлина</v>
          </cell>
          <cell r="B1095" t="str">
            <v>Export duty</v>
          </cell>
          <cell r="D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L1095">
            <v>0</v>
          </cell>
        </row>
        <row r="1096">
          <cell r="A1096" t="str">
            <v>Импортная пошлина</v>
          </cell>
          <cell r="B1096" t="str">
            <v>Import duty</v>
          </cell>
          <cell r="D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0</v>
          </cell>
          <cell r="AE1096">
            <v>0</v>
          </cell>
          <cell r="AF1096">
            <v>0</v>
          </cell>
          <cell r="AG1096">
            <v>0</v>
          </cell>
          <cell r="AH1096">
            <v>0</v>
          </cell>
          <cell r="AI1096">
            <v>0</v>
          </cell>
          <cell r="AJ1096">
            <v>0</v>
          </cell>
          <cell r="AL1096">
            <v>0</v>
          </cell>
        </row>
        <row r="1098">
          <cell r="A1098" t="str">
            <v>Подоходный налог</v>
          </cell>
          <cell r="B1098" t="str">
            <v>Withholding tax</v>
          </cell>
          <cell r="D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  <cell r="Y1098">
            <v>0</v>
          </cell>
          <cell r="Z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0</v>
          </cell>
          <cell r="AE1098">
            <v>0</v>
          </cell>
          <cell r="AF1098">
            <v>0</v>
          </cell>
          <cell r="AG1098">
            <v>0</v>
          </cell>
          <cell r="AH1098">
            <v>0</v>
          </cell>
          <cell r="AI1098">
            <v>0</v>
          </cell>
          <cell r="AJ1098">
            <v>0</v>
          </cell>
          <cell r="AL1098">
            <v>0</v>
          </cell>
        </row>
        <row r="1100">
          <cell r="A1100" t="str">
            <v>Отчисления на социальные нужды</v>
          </cell>
          <cell r="B1100" t="str">
            <v>Social needs surcharges</v>
          </cell>
          <cell r="D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  <cell r="X1100">
            <v>0</v>
          </cell>
          <cell r="Y1100">
            <v>0</v>
          </cell>
          <cell r="Z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0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L1100">
            <v>0</v>
          </cell>
        </row>
        <row r="1101">
          <cell r="A1101" t="str">
            <v>Налоги в дорожный фонд</v>
          </cell>
          <cell r="B1101" t="str">
            <v>Road users tax</v>
          </cell>
          <cell r="D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0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L1101">
            <v>0</v>
          </cell>
        </row>
        <row r="1102">
          <cell r="A1102" t="str">
            <v>Транспортный налог</v>
          </cell>
          <cell r="B1102" t="str">
            <v>Transport tax</v>
          </cell>
          <cell r="D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>
            <v>0</v>
          </cell>
          <cell r="Z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0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L1102">
            <v>0</v>
          </cell>
        </row>
        <row r="1103">
          <cell r="A1103" t="str">
            <v>Сбор на нужды прав.органов</v>
          </cell>
          <cell r="B1103" t="str">
            <v>Other tax</v>
          </cell>
          <cell r="D1103">
            <v>1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  <cell r="Y1103">
            <v>0</v>
          </cell>
          <cell r="Z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0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L1103">
            <v>0</v>
          </cell>
        </row>
        <row r="1105">
          <cell r="A1105" t="str">
            <v>Налог на имущество</v>
          </cell>
          <cell r="B1105" t="str">
            <v>Property tax</v>
          </cell>
          <cell r="D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  <cell r="Y1105">
            <v>0</v>
          </cell>
          <cell r="Z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0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L1105">
            <v>0</v>
          </cell>
        </row>
        <row r="1106">
          <cell r="A1106" t="str">
            <v>Налог на содержание ЖФ и объектов соц.культ. сферы</v>
          </cell>
          <cell r="B1106" t="str">
            <v>Dwelling fund maintenance tax</v>
          </cell>
          <cell r="D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  <cell r="X1106">
            <v>0</v>
          </cell>
          <cell r="Y1106">
            <v>0</v>
          </cell>
          <cell r="Z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0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L1106">
            <v>0</v>
          </cell>
        </row>
        <row r="1107">
          <cell r="A1107" t="str">
            <v>Сбор на нужды образовательных учреждений</v>
          </cell>
          <cell r="B1107" t="str">
            <v>Education needs tax</v>
          </cell>
          <cell r="D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  <cell r="Y1107">
            <v>0</v>
          </cell>
          <cell r="Z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0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L1107">
            <v>0</v>
          </cell>
        </row>
        <row r="1108">
          <cell r="A1108" t="str">
            <v>Сбор на нужды правоохранительных органов</v>
          </cell>
          <cell r="B1108" t="str">
            <v>Police tax</v>
          </cell>
          <cell r="D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  <cell r="X1108">
            <v>0</v>
          </cell>
          <cell r="Y1108">
            <v>0</v>
          </cell>
          <cell r="Z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0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L1108">
            <v>0</v>
          </cell>
        </row>
        <row r="1109">
          <cell r="A1109" t="str">
            <v>Наименование налога</v>
          </cell>
          <cell r="B1109" t="str">
            <v>Other tax</v>
          </cell>
          <cell r="D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  <cell r="Y1109">
            <v>0</v>
          </cell>
          <cell r="Z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0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L1109">
            <v>0</v>
          </cell>
        </row>
        <row r="1111">
          <cell r="A1111" t="str">
            <v>Налог на прибыль</v>
          </cell>
          <cell r="B1111" t="str">
            <v>Profit tax</v>
          </cell>
          <cell r="D1111">
            <v>0.37</v>
          </cell>
          <cell r="F1111">
            <v>0</v>
          </cell>
          <cell r="G1111">
            <v>0</v>
          </cell>
          <cell r="H1111">
            <v>4851.468468107746</v>
          </cell>
          <cell r="I1111">
            <v>5611.526614227489</v>
          </cell>
          <cell r="J1111">
            <v>6913.996612444922</v>
          </cell>
          <cell r="K1111">
            <v>8247.429697435677</v>
          </cell>
          <cell r="L1111">
            <v>9579.291022426434</v>
          </cell>
          <cell r="M1111">
            <v>10777.607454931454</v>
          </cell>
          <cell r="N1111">
            <v>11974.59264918366</v>
          </cell>
          <cell r="O1111">
            <v>13169.59338012562</v>
          </cell>
          <cell r="P1111">
            <v>14362.550113858044</v>
          </cell>
          <cell r="Q1111">
            <v>15553.401530464611</v>
          </cell>
          <cell r="R1111">
            <v>16815.667134894702</v>
          </cell>
          <cell r="S1111">
            <v>18075.45738509962</v>
          </cell>
          <cell r="T1111">
            <v>19332.94709843758</v>
          </cell>
          <cell r="U1111">
            <v>20588.06725880256</v>
          </cell>
          <cell r="V1111">
            <v>20509.695930904967</v>
          </cell>
          <cell r="W1111">
            <v>20431.180217150624</v>
          </cell>
          <cell r="X1111">
            <v>20350.075228884787</v>
          </cell>
          <cell r="Y1111">
            <v>20266.303287872117</v>
          </cell>
          <cell r="Z1111">
            <v>20179.7843855302</v>
          </cell>
          <cell r="AA1111">
            <v>20090.43611301917</v>
          </cell>
          <cell r="AB1111">
            <v>19998.173589233935</v>
          </cell>
          <cell r="AC1111">
            <v>19902.90938663628</v>
          </cell>
          <cell r="AD1111">
            <v>19804.55345486183</v>
          </cell>
          <cell r="AE1111">
            <v>19703.013042035283</v>
          </cell>
          <cell r="AF1111">
            <v>19598.19261372508</v>
          </cell>
          <cell r="AG1111">
            <v>19489.993769466702</v>
          </cell>
          <cell r="AH1111">
            <v>19378.315156781715</v>
          </cell>
          <cell r="AI1111">
            <v>19638.401141334103</v>
          </cell>
          <cell r="AJ1111">
            <v>19522.290232048308</v>
          </cell>
          <cell r="AL1111">
            <v>474716.91396992526</v>
          </cell>
        </row>
        <row r="1113">
          <cell r="A1113" t="str">
            <v> = Итого налоги в федеральный бюджет</v>
          </cell>
          <cell r="B1113" t="str">
            <v> = Total taxes in the federal budget</v>
          </cell>
          <cell r="D1113" t="str">
            <v>тыс.руб.</v>
          </cell>
          <cell r="F1113">
            <v>0</v>
          </cell>
          <cell r="G1113">
            <v>0</v>
          </cell>
          <cell r="H1113">
            <v>4851.468468107746</v>
          </cell>
          <cell r="I1113">
            <v>5611.526614227489</v>
          </cell>
          <cell r="J1113">
            <v>6913.996612444922</v>
          </cell>
          <cell r="K1113">
            <v>8247.429697435677</v>
          </cell>
          <cell r="L1113">
            <v>9579.291022426434</v>
          </cell>
          <cell r="M1113">
            <v>10777.607454931454</v>
          </cell>
          <cell r="N1113">
            <v>11974.59264918366</v>
          </cell>
          <cell r="O1113">
            <v>13169.59338012562</v>
          </cell>
          <cell r="P1113">
            <v>14362.550113858044</v>
          </cell>
          <cell r="Q1113">
            <v>15553.401530464611</v>
          </cell>
          <cell r="R1113">
            <v>16815.667134894702</v>
          </cell>
          <cell r="S1113">
            <v>18075.45738509962</v>
          </cell>
          <cell r="T1113">
            <v>19332.94709843758</v>
          </cell>
          <cell r="U1113">
            <v>20588.06725880256</v>
          </cell>
          <cell r="V1113">
            <v>20509.695930904967</v>
          </cell>
          <cell r="W1113">
            <v>20431.180217150624</v>
          </cell>
          <cell r="X1113">
            <v>20350.075228884787</v>
          </cell>
          <cell r="Y1113">
            <v>20266.303287872117</v>
          </cell>
          <cell r="Z1113">
            <v>20179.7843855302</v>
          </cell>
          <cell r="AA1113">
            <v>20090.43611301917</v>
          </cell>
          <cell r="AB1113">
            <v>19998.173589233935</v>
          </cell>
          <cell r="AC1113">
            <v>19902.90938663628</v>
          </cell>
          <cell r="AD1113">
            <v>19804.55345486183</v>
          </cell>
          <cell r="AE1113">
            <v>19703.013042035283</v>
          </cell>
          <cell r="AF1113">
            <v>19598.19261372508</v>
          </cell>
          <cell r="AG1113">
            <v>19489.993769466702</v>
          </cell>
          <cell r="AH1113">
            <v>19378.315156781715</v>
          </cell>
          <cell r="AI1113">
            <v>19638.401141334103</v>
          </cell>
          <cell r="AJ1113">
            <v>19522.290232048308</v>
          </cell>
          <cell r="AL1113">
            <v>474716.91396992526</v>
          </cell>
        </row>
        <row r="1114">
          <cell r="A1114" t="str">
            <v> = Итого налоги в бюджеты местного уровня</v>
          </cell>
          <cell r="B1114" t="str">
            <v> = Total taxes in the budgets of a local level </v>
          </cell>
          <cell r="D1114" t="str">
            <v>тыс.руб.</v>
          </cell>
          <cell r="F1114">
            <v>0</v>
          </cell>
          <cell r="G1114">
            <v>0</v>
          </cell>
          <cell r="H1114">
            <v>13270.350106155427</v>
          </cell>
          <cell r="I1114">
            <v>15068.479502124112</v>
          </cell>
          <cell r="J1114">
            <v>17762.714075556956</v>
          </cell>
          <cell r="K1114">
            <v>20514.986170913246</v>
          </cell>
          <cell r="L1114">
            <v>23264.58202626954</v>
          </cell>
          <cell r="M1114">
            <v>25672.743627852313</v>
          </cell>
          <cell r="N1114">
            <v>28071.93328823008</v>
          </cell>
          <cell r="O1114">
            <v>30467.74399756608</v>
          </cell>
          <cell r="P1114">
            <v>32860.074387329085</v>
          </cell>
          <cell r="Q1114">
            <v>35248.82004793184</v>
          </cell>
          <cell r="R1114">
            <v>37805.77723470559</v>
          </cell>
          <cell r="S1114">
            <v>40361.24286435696</v>
          </cell>
          <cell r="T1114">
            <v>42912.79136366728</v>
          </cell>
          <cell r="U1114">
            <v>45460.305218726324</v>
          </cell>
          <cell r="V1114">
            <v>45265.78147419213</v>
          </cell>
          <cell r="W1114">
            <v>45044.32863017799</v>
          </cell>
          <cell r="X1114">
            <v>44818.467021455086</v>
          </cell>
          <cell r="Y1114">
            <v>44588.064385082165</v>
          </cell>
          <cell r="Z1114">
            <v>44352.984490229705</v>
          </cell>
          <cell r="AA1114">
            <v>44113.08701914335</v>
          </cell>
          <cell r="AB1114">
            <v>43868.22744453607</v>
          </cell>
          <cell r="AC1114">
            <v>43618.256903302216</v>
          </cell>
          <cell r="AD1114">
            <v>43363.02206644302</v>
          </cell>
          <cell r="AE1114">
            <v>43102.36500508971</v>
          </cell>
          <cell r="AF1114">
            <v>42836.123052507464</v>
          </cell>
          <cell r="AG1114">
            <v>42564.12866195943</v>
          </cell>
          <cell r="AH1114">
            <v>42286.20926030661</v>
          </cell>
          <cell r="AI1114">
            <v>42683.99040713905</v>
          </cell>
          <cell r="AJ1114">
            <v>42485.10204908486</v>
          </cell>
          <cell r="AL1114">
            <v>1063732.6817820335</v>
          </cell>
        </row>
        <row r="1115">
          <cell r="A1115" t="str">
            <v> = Итого налоги в бюджеты всех уровней</v>
          </cell>
          <cell r="B1115" t="str">
            <v> = Total taxes in the budgets of the all levels </v>
          </cell>
          <cell r="D1115" t="str">
            <v>тыс.руб.</v>
          </cell>
          <cell r="F1115">
            <v>0</v>
          </cell>
          <cell r="G1115">
            <v>0</v>
          </cell>
          <cell r="H1115">
            <v>18121.818574263172</v>
          </cell>
          <cell r="I1115">
            <v>20680.0061163516</v>
          </cell>
          <cell r="J1115">
            <v>24676.710688001876</v>
          </cell>
          <cell r="K1115">
            <v>28762.415868348922</v>
          </cell>
          <cell r="L1115">
            <v>32843.873048695976</v>
          </cell>
          <cell r="M1115">
            <v>36450.35108278377</v>
          </cell>
          <cell r="N1115">
            <v>40046.52593741374</v>
          </cell>
          <cell r="O1115">
            <v>43637.3373776917</v>
          </cell>
          <cell r="P1115">
            <v>47222.62450118713</v>
          </cell>
          <cell r="Q1115">
            <v>50802.22157839645</v>
          </cell>
          <cell r="R1115">
            <v>54621.444369600285</v>
          </cell>
          <cell r="S1115">
            <v>58436.70024945658</v>
          </cell>
          <cell r="T1115">
            <v>62245.73846210486</v>
          </cell>
          <cell r="U1115">
            <v>66048.37247752889</v>
          </cell>
          <cell r="V1115">
            <v>65775.4774050971</v>
          </cell>
          <cell r="W1115">
            <v>65475.508847328616</v>
          </cell>
          <cell r="X1115">
            <v>65168.54225033987</v>
          </cell>
          <cell r="Y1115">
            <v>64854.36767295428</v>
          </cell>
          <cell r="Z1115">
            <v>64532.76887575991</v>
          </cell>
          <cell r="AA1115">
            <v>64203.52313216252</v>
          </cell>
          <cell r="AB1115">
            <v>63866.40103377</v>
          </cell>
          <cell r="AC1115">
            <v>63521.1662899385</v>
          </cell>
          <cell r="AD1115">
            <v>63167.575521304854</v>
          </cell>
          <cell r="AE1115">
            <v>62805.37804712499</v>
          </cell>
          <cell r="AF1115">
            <v>62434.31566623255</v>
          </cell>
          <cell r="AG1115">
            <v>62054.122431426134</v>
          </cell>
          <cell r="AH1115">
            <v>61664.52441708832</v>
          </cell>
          <cell r="AI1115">
            <v>62322.391548473155</v>
          </cell>
          <cell r="AJ1115">
            <v>62007.39228113317</v>
          </cell>
          <cell r="AL1115">
            <v>1538449.5957519587</v>
          </cell>
        </row>
        <row r="1117">
          <cell r="A1117" t="str">
            <v>Целевые финансирование и поступления</v>
          </cell>
          <cell r="B1117" t="str">
            <v>Target financing (financing from a public finance)</v>
          </cell>
          <cell r="D1117" t="str">
            <v>тыс.руб.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  <cell r="X1117">
            <v>0</v>
          </cell>
          <cell r="Y1117">
            <v>0</v>
          </cell>
          <cell r="Z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0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  <cell r="AJ1117">
            <v>0</v>
          </cell>
          <cell r="AL1117">
            <v>0</v>
          </cell>
        </row>
        <row r="1119">
          <cell r="A1119" t="str">
            <v>Государственный кредит (выдача (-))</v>
          </cell>
          <cell r="B1119" t="str">
            <v>Public credit (issue (-)) </v>
          </cell>
          <cell r="D1119" t="str">
            <v>тыс.руб.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0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>
            <v>0</v>
          </cell>
          <cell r="AJ1119">
            <v>0</v>
          </cell>
          <cell r="AL1119">
            <v>0</v>
          </cell>
        </row>
        <row r="1120">
          <cell r="A1120" t="str">
            <v>Государственный кредит (возврат (+))</v>
          </cell>
          <cell r="B1120" t="str">
            <v>Public credit (return (+)) </v>
          </cell>
          <cell r="D1120" t="str">
            <v>тыс.руб.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>
            <v>0</v>
          </cell>
          <cell r="Z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0</v>
          </cell>
          <cell r="AE1120">
            <v>0</v>
          </cell>
          <cell r="AF1120">
            <v>0</v>
          </cell>
          <cell r="AG1120">
            <v>0</v>
          </cell>
          <cell r="AH1120">
            <v>0</v>
          </cell>
          <cell r="AI1120">
            <v>0</v>
          </cell>
          <cell r="AJ1120">
            <v>0</v>
          </cell>
          <cell r="AL1120">
            <v>0</v>
          </cell>
        </row>
        <row r="1121">
          <cell r="A1121" t="str">
            <v>Государственный кредит (проценты (+))</v>
          </cell>
          <cell r="B1121" t="str">
            <v>Public credit (interests (+)) </v>
          </cell>
          <cell r="D1121" t="str">
            <v>тыс.руб.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0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>
            <v>0</v>
          </cell>
          <cell r="AL1121">
            <v>0</v>
          </cell>
        </row>
        <row r="1123">
          <cell r="A1123" t="str">
            <v> = Итого доходы/расходы по федеральному бюджету</v>
          </cell>
          <cell r="B1123" t="str">
            <v> = Total balance of the incomes/consumptions under the fed.budget</v>
          </cell>
          <cell r="D1123" t="str">
            <v>тыс.руб.</v>
          </cell>
          <cell r="F1123">
            <v>0</v>
          </cell>
          <cell r="G1123">
            <v>0</v>
          </cell>
          <cell r="H1123">
            <v>4851.468468107746</v>
          </cell>
          <cell r="I1123">
            <v>5611.526614227489</v>
          </cell>
          <cell r="J1123">
            <v>6913.996612444922</v>
          </cell>
          <cell r="K1123">
            <v>8247.429697435677</v>
          </cell>
          <cell r="L1123">
            <v>9579.291022426434</v>
          </cell>
          <cell r="M1123">
            <v>10777.607454931454</v>
          </cell>
          <cell r="N1123">
            <v>11974.59264918366</v>
          </cell>
          <cell r="O1123">
            <v>13169.59338012562</v>
          </cell>
          <cell r="P1123">
            <v>14362.550113858044</v>
          </cell>
          <cell r="Q1123">
            <v>15553.401530464611</v>
          </cell>
          <cell r="R1123">
            <v>16815.667134894702</v>
          </cell>
          <cell r="S1123">
            <v>18075.45738509962</v>
          </cell>
          <cell r="T1123">
            <v>19332.94709843758</v>
          </cell>
          <cell r="U1123">
            <v>20588.06725880256</v>
          </cell>
          <cell r="V1123">
            <v>20509.695930904967</v>
          </cell>
          <cell r="W1123">
            <v>20431.180217150624</v>
          </cell>
          <cell r="X1123">
            <v>20350.075228884787</v>
          </cell>
          <cell r="Y1123">
            <v>20266.303287872117</v>
          </cell>
          <cell r="Z1123">
            <v>20179.7843855302</v>
          </cell>
          <cell r="AA1123">
            <v>20090.43611301917</v>
          </cell>
          <cell r="AB1123">
            <v>19998.173589233935</v>
          </cell>
          <cell r="AC1123">
            <v>19902.90938663628</v>
          </cell>
          <cell r="AD1123">
            <v>19804.55345486183</v>
          </cell>
          <cell r="AE1123">
            <v>19703.013042035283</v>
          </cell>
          <cell r="AF1123">
            <v>19598.19261372508</v>
          </cell>
          <cell r="AG1123">
            <v>19489.993769466702</v>
          </cell>
          <cell r="AH1123">
            <v>19378.315156781715</v>
          </cell>
          <cell r="AI1123">
            <v>19638.401141334103</v>
          </cell>
          <cell r="AJ1123">
            <v>19522.290232048308</v>
          </cell>
          <cell r="AL1123">
            <v>474716.91396992526</v>
          </cell>
        </row>
        <row r="1124">
          <cell r="A1124" t="str">
            <v>То же, нарастающим итогом</v>
          </cell>
          <cell r="B1124" t="str">
            <v>The same, accumulated </v>
          </cell>
          <cell r="D1124" t="str">
            <v>тыс.руб.</v>
          </cell>
          <cell r="E1124" t="str">
            <v>on_end</v>
          </cell>
          <cell r="F1124">
            <v>0</v>
          </cell>
          <cell r="G1124">
            <v>0</v>
          </cell>
          <cell r="H1124">
            <v>4851.468468107746</v>
          </cell>
          <cell r="I1124">
            <v>10462.995082335234</v>
          </cell>
          <cell r="J1124">
            <v>17376.991694780154</v>
          </cell>
          <cell r="K1124">
            <v>25624.42139221583</v>
          </cell>
          <cell r="L1124">
            <v>35203.712414642265</v>
          </cell>
          <cell r="M1124">
            <v>45981.31986957372</v>
          </cell>
          <cell r="N1124">
            <v>57955.91251875738</v>
          </cell>
          <cell r="O1124">
            <v>71125.505898883</v>
          </cell>
          <cell r="P1124">
            <v>85488.05601274104</v>
          </cell>
          <cell r="Q1124">
            <v>101041.45754320566</v>
          </cell>
          <cell r="R1124">
            <v>117857.12467810036</v>
          </cell>
          <cell r="S1124">
            <v>135932.58206319998</v>
          </cell>
          <cell r="T1124">
            <v>155265.52916163756</v>
          </cell>
          <cell r="U1124">
            <v>175853.59642044012</v>
          </cell>
          <cell r="V1124">
            <v>196363.2923513451</v>
          </cell>
          <cell r="W1124">
            <v>216794.47256849572</v>
          </cell>
          <cell r="X1124">
            <v>237144.5477973805</v>
          </cell>
          <cell r="Y1124">
            <v>257410.85108525262</v>
          </cell>
          <cell r="Z1124">
            <v>277590.6354707828</v>
          </cell>
          <cell r="AA1124">
            <v>297681.071583802</v>
          </cell>
          <cell r="AB1124">
            <v>317679.24517303595</v>
          </cell>
          <cell r="AC1124">
            <v>337582.1545596722</v>
          </cell>
          <cell r="AD1124">
            <v>357386.7080145341</v>
          </cell>
          <cell r="AE1124">
            <v>377089.72105656937</v>
          </cell>
          <cell r="AF1124">
            <v>396687.91367029445</v>
          </cell>
          <cell r="AG1124">
            <v>416177.90743976115</v>
          </cell>
          <cell r="AH1124">
            <v>435556.22259654285</v>
          </cell>
          <cell r="AI1124">
            <v>455194.62373787694</v>
          </cell>
          <cell r="AJ1124">
            <v>474716.91396992526</v>
          </cell>
          <cell r="AL1124">
            <v>474716.91396992526</v>
          </cell>
        </row>
        <row r="1126">
          <cell r="A1126" t="str">
            <v>Ставка сравнения (ставка рефинансирования ЦБ РФ)</v>
          </cell>
          <cell r="B1126" t="str">
            <v>Rate of discount (the Central Bank of Russia rate of re-financing)</v>
          </cell>
        </row>
        <row r="1127">
          <cell r="A1127" t="str">
            <v> - номинальная годовая банковская</v>
          </cell>
          <cell r="B1127" t="str">
            <v> - nominal "banking" per year</v>
          </cell>
          <cell r="D1127" t="str">
            <v>%</v>
          </cell>
          <cell r="E1127" t="str">
            <v>on_end</v>
          </cell>
          <cell r="F1127">
            <v>0.13</v>
          </cell>
          <cell r="G1127">
            <v>0.13</v>
          </cell>
          <cell r="H1127">
            <v>0.13</v>
          </cell>
          <cell r="I1127">
            <v>0.13</v>
          </cell>
          <cell r="J1127">
            <v>0.13</v>
          </cell>
          <cell r="K1127">
            <v>0.13</v>
          </cell>
          <cell r="L1127">
            <v>0.13</v>
          </cell>
          <cell r="M1127">
            <v>0.13</v>
          </cell>
          <cell r="N1127">
            <v>0.13</v>
          </cell>
          <cell r="O1127">
            <v>0.13</v>
          </cell>
          <cell r="P1127">
            <v>0.13</v>
          </cell>
          <cell r="Q1127">
            <v>0.13</v>
          </cell>
          <cell r="R1127">
            <v>0.13</v>
          </cell>
          <cell r="S1127">
            <v>0.13</v>
          </cell>
          <cell r="T1127">
            <v>0.13</v>
          </cell>
          <cell r="U1127">
            <v>0.13</v>
          </cell>
          <cell r="V1127">
            <v>0.13</v>
          </cell>
          <cell r="W1127">
            <v>0.13</v>
          </cell>
          <cell r="X1127">
            <v>0.13</v>
          </cell>
          <cell r="Y1127">
            <v>0.13</v>
          </cell>
          <cell r="Z1127">
            <v>0.13</v>
          </cell>
          <cell r="AA1127">
            <v>0.13</v>
          </cell>
          <cell r="AB1127">
            <v>0.13</v>
          </cell>
          <cell r="AC1127">
            <v>0.13</v>
          </cell>
          <cell r="AD1127">
            <v>0.13</v>
          </cell>
          <cell r="AE1127">
            <v>0.13</v>
          </cell>
          <cell r="AF1127">
            <v>0.13</v>
          </cell>
          <cell r="AG1127">
            <v>0.13</v>
          </cell>
          <cell r="AH1127">
            <v>0.13</v>
          </cell>
          <cell r="AI1127">
            <v>0.13</v>
          </cell>
          <cell r="AJ1127">
            <v>0.13</v>
          </cell>
          <cell r="AK1127">
            <v>0.13</v>
          </cell>
        </row>
        <row r="1128">
          <cell r="A1128" t="str">
            <v> - реальная годовая банковская</v>
          </cell>
          <cell r="B1128" t="str">
            <v> - real "banking" per year</v>
          </cell>
          <cell r="D1128" t="str">
            <v>%</v>
          </cell>
          <cell r="E1128" t="str">
            <v>on_end</v>
          </cell>
          <cell r="F1128">
            <v>0.1299999999999999</v>
          </cell>
          <cell r="G1128">
            <v>0.1299999999999999</v>
          </cell>
          <cell r="H1128">
            <v>0.1299999999999999</v>
          </cell>
          <cell r="I1128">
            <v>0.1299999999999999</v>
          </cell>
          <cell r="J1128">
            <v>0.1299999999999999</v>
          </cell>
          <cell r="K1128">
            <v>0.1299999999999999</v>
          </cell>
          <cell r="L1128">
            <v>0.1299999999999999</v>
          </cell>
          <cell r="M1128">
            <v>0.1299999999999999</v>
          </cell>
          <cell r="N1128">
            <v>0.1299999999999999</v>
          </cell>
          <cell r="O1128">
            <v>0.1299999999999999</v>
          </cell>
          <cell r="P1128">
            <v>0.1299999999999999</v>
          </cell>
          <cell r="Q1128">
            <v>0.1299999999999999</v>
          </cell>
          <cell r="R1128">
            <v>0.1299999999999999</v>
          </cell>
          <cell r="S1128">
            <v>0.1299999999999999</v>
          </cell>
          <cell r="T1128">
            <v>0.1299999999999999</v>
          </cell>
          <cell r="U1128">
            <v>0.1299999999999999</v>
          </cell>
          <cell r="V1128">
            <v>0.1299999999999999</v>
          </cell>
          <cell r="W1128">
            <v>0.1299999999999999</v>
          </cell>
          <cell r="X1128">
            <v>0.1299999999999999</v>
          </cell>
          <cell r="Y1128">
            <v>0.1299999999999999</v>
          </cell>
          <cell r="Z1128">
            <v>0.1299999999999999</v>
          </cell>
          <cell r="AA1128">
            <v>0.1299999999999999</v>
          </cell>
          <cell r="AB1128">
            <v>0.1299999999999999</v>
          </cell>
          <cell r="AC1128">
            <v>0.1299999999999999</v>
          </cell>
          <cell r="AD1128">
            <v>0.1299999999999999</v>
          </cell>
          <cell r="AE1128">
            <v>0.1299999999999999</v>
          </cell>
          <cell r="AF1128">
            <v>0.1299999999999999</v>
          </cell>
          <cell r="AG1128">
            <v>0.1299999999999999</v>
          </cell>
          <cell r="AH1128">
            <v>0.1299999999999999</v>
          </cell>
          <cell r="AI1128">
            <v>0.1299999999999999</v>
          </cell>
          <cell r="AJ1128">
            <v>0.1299999999999999</v>
          </cell>
          <cell r="AK1128">
            <v>0.1299999999999999</v>
          </cell>
        </row>
        <row r="1129">
          <cell r="A1129" t="str">
            <v> - номинальная годовая эффективная</v>
          </cell>
          <cell r="B1129" t="str">
            <v> - nominal "effective" per year</v>
          </cell>
          <cell r="D1129" t="str">
            <v>%</v>
          </cell>
          <cell r="E1129" t="str">
            <v>on_end</v>
          </cell>
          <cell r="F1129">
            <v>0.1299999999999999</v>
          </cell>
          <cell r="G1129">
            <v>0.1299999999999999</v>
          </cell>
          <cell r="H1129">
            <v>0.1299999999999999</v>
          </cell>
          <cell r="I1129">
            <v>0.1299999999999999</v>
          </cell>
          <cell r="J1129">
            <v>0.1299999999999999</v>
          </cell>
          <cell r="K1129">
            <v>0.1299999999999999</v>
          </cell>
          <cell r="L1129">
            <v>0.1299999999999999</v>
          </cell>
          <cell r="M1129">
            <v>0.1299999999999999</v>
          </cell>
          <cell r="N1129">
            <v>0.1299999999999999</v>
          </cell>
          <cell r="O1129">
            <v>0.1299999999999999</v>
          </cell>
          <cell r="P1129">
            <v>0.1299999999999999</v>
          </cell>
          <cell r="Q1129">
            <v>0.1299999999999999</v>
          </cell>
          <cell r="R1129">
            <v>0.1299999999999999</v>
          </cell>
          <cell r="S1129">
            <v>0.1299999999999999</v>
          </cell>
          <cell r="T1129">
            <v>0.1299999999999999</v>
          </cell>
          <cell r="U1129">
            <v>0.1299999999999999</v>
          </cell>
          <cell r="V1129">
            <v>0.1299999999999999</v>
          </cell>
          <cell r="W1129">
            <v>0.1299999999999999</v>
          </cell>
          <cell r="X1129">
            <v>0.1299999999999999</v>
          </cell>
          <cell r="Y1129">
            <v>0.1299999999999999</v>
          </cell>
          <cell r="Z1129">
            <v>0.1299999999999999</v>
          </cell>
          <cell r="AA1129">
            <v>0.1299999999999999</v>
          </cell>
          <cell r="AB1129">
            <v>0.1299999999999999</v>
          </cell>
          <cell r="AC1129">
            <v>0.1299999999999999</v>
          </cell>
          <cell r="AD1129">
            <v>0.1299999999999999</v>
          </cell>
          <cell r="AE1129">
            <v>0.1299999999999999</v>
          </cell>
          <cell r="AF1129">
            <v>0.1299999999999999</v>
          </cell>
          <cell r="AG1129">
            <v>0.1299999999999999</v>
          </cell>
          <cell r="AH1129">
            <v>0.1299999999999999</v>
          </cell>
          <cell r="AI1129">
            <v>0.1299999999999999</v>
          </cell>
          <cell r="AJ1129">
            <v>0.1299999999999999</v>
          </cell>
          <cell r="AK1129">
            <v>0.1299999999999999</v>
          </cell>
        </row>
        <row r="1130">
          <cell r="A1130" t="str">
            <v> - реальная годовая эффективная</v>
          </cell>
          <cell r="B1130" t="str">
            <v> - real "effective" per year</v>
          </cell>
          <cell r="D1130" t="str">
            <v>%</v>
          </cell>
          <cell r="E1130" t="str">
            <v>on_end</v>
          </cell>
          <cell r="F1130">
            <v>0.1299999999999999</v>
          </cell>
          <cell r="G1130">
            <v>0.1299999999999999</v>
          </cell>
          <cell r="H1130">
            <v>0.1299999999999999</v>
          </cell>
          <cell r="I1130">
            <v>0.1299999999999999</v>
          </cell>
          <cell r="J1130">
            <v>0.1299999999999999</v>
          </cell>
          <cell r="K1130">
            <v>0.1299999999999999</v>
          </cell>
          <cell r="L1130">
            <v>0.1299999999999999</v>
          </cell>
          <cell r="M1130">
            <v>0.1299999999999999</v>
          </cell>
          <cell r="N1130">
            <v>0.1299999999999999</v>
          </cell>
          <cell r="O1130">
            <v>0.1299999999999999</v>
          </cell>
          <cell r="P1130">
            <v>0.1299999999999999</v>
          </cell>
          <cell r="Q1130">
            <v>0.1299999999999999</v>
          </cell>
          <cell r="R1130">
            <v>0.1299999999999999</v>
          </cell>
          <cell r="S1130">
            <v>0.1299999999999999</v>
          </cell>
          <cell r="T1130">
            <v>0.1299999999999999</v>
          </cell>
          <cell r="U1130">
            <v>0.1299999999999999</v>
          </cell>
          <cell r="V1130">
            <v>0.1299999999999999</v>
          </cell>
          <cell r="W1130">
            <v>0.1299999999999999</v>
          </cell>
          <cell r="X1130">
            <v>0.1299999999999999</v>
          </cell>
          <cell r="Y1130">
            <v>0.1299999999999999</v>
          </cell>
          <cell r="Z1130">
            <v>0.1299999999999999</v>
          </cell>
          <cell r="AA1130">
            <v>0.1299999999999999</v>
          </cell>
          <cell r="AB1130">
            <v>0.1299999999999999</v>
          </cell>
          <cell r="AC1130">
            <v>0.1299999999999999</v>
          </cell>
          <cell r="AD1130">
            <v>0.1299999999999999</v>
          </cell>
          <cell r="AE1130">
            <v>0.1299999999999999</v>
          </cell>
          <cell r="AF1130">
            <v>0.1299999999999999</v>
          </cell>
          <cell r="AG1130">
            <v>0.1299999999999999</v>
          </cell>
          <cell r="AH1130">
            <v>0.1299999999999999</v>
          </cell>
          <cell r="AI1130">
            <v>0.1299999999999999</v>
          </cell>
          <cell r="AJ1130">
            <v>0.1299999999999999</v>
          </cell>
          <cell r="AK1130">
            <v>0.1299999999999999</v>
          </cell>
        </row>
        <row r="1131">
          <cell r="A1131" t="str">
            <v> - расчетная на ИП (номинальная)</v>
          </cell>
          <cell r="B1131" t="str">
            <v> - calculated per PI (nominal)</v>
          </cell>
          <cell r="D1131" t="str">
            <v>%</v>
          </cell>
          <cell r="E1131" t="str">
            <v>on_end</v>
          </cell>
          <cell r="F1131">
            <v>0.1299999999999999</v>
          </cell>
          <cell r="G1131">
            <v>0.1299999999999999</v>
          </cell>
          <cell r="H1131">
            <v>0.1299999999999999</v>
          </cell>
          <cell r="I1131">
            <v>0.1299999999999999</v>
          </cell>
          <cell r="J1131">
            <v>0.1299999999999999</v>
          </cell>
          <cell r="K1131">
            <v>0.1299999999999999</v>
          </cell>
          <cell r="L1131">
            <v>0.1299999999999999</v>
          </cell>
          <cell r="M1131">
            <v>0.1299999999999999</v>
          </cell>
          <cell r="N1131">
            <v>0.1299999999999999</v>
          </cell>
          <cell r="O1131">
            <v>0.1299999999999999</v>
          </cell>
          <cell r="P1131">
            <v>0.1299999999999999</v>
          </cell>
          <cell r="Q1131">
            <v>0.1299999999999999</v>
          </cell>
          <cell r="R1131">
            <v>0.1299999999999999</v>
          </cell>
          <cell r="S1131">
            <v>0.1299999999999999</v>
          </cell>
          <cell r="T1131">
            <v>0.1299999999999999</v>
          </cell>
          <cell r="U1131">
            <v>0.1299999999999999</v>
          </cell>
          <cell r="V1131">
            <v>0.1299999999999999</v>
          </cell>
          <cell r="W1131">
            <v>0.1299999999999999</v>
          </cell>
          <cell r="X1131">
            <v>0.1299999999999999</v>
          </cell>
          <cell r="Y1131">
            <v>0.1299999999999999</v>
          </cell>
          <cell r="Z1131">
            <v>0.1299999999999999</v>
          </cell>
          <cell r="AA1131">
            <v>0.1299999999999999</v>
          </cell>
          <cell r="AB1131">
            <v>0.1299999999999999</v>
          </cell>
          <cell r="AC1131">
            <v>0.1299999999999999</v>
          </cell>
          <cell r="AD1131">
            <v>0.1299999999999999</v>
          </cell>
          <cell r="AE1131">
            <v>0.1299999999999999</v>
          </cell>
          <cell r="AF1131">
            <v>0.1299999999999999</v>
          </cell>
          <cell r="AG1131">
            <v>0.1299999999999999</v>
          </cell>
          <cell r="AH1131">
            <v>0.1299999999999999</v>
          </cell>
          <cell r="AI1131">
            <v>0.1299999999999999</v>
          </cell>
          <cell r="AJ1131">
            <v>0.1299999999999999</v>
          </cell>
          <cell r="AK1131">
            <v>0.1299999999999999</v>
          </cell>
        </row>
        <row r="1132">
          <cell r="A1132" t="str">
            <v> - расчетная на ИП (реальная)</v>
          </cell>
          <cell r="B1132" t="str">
            <v> - calculated per PI (real)</v>
          </cell>
          <cell r="D1132" t="str">
            <v>%</v>
          </cell>
          <cell r="E1132" t="str">
            <v>on_end</v>
          </cell>
          <cell r="F1132">
            <v>0.1299999999999999</v>
          </cell>
          <cell r="G1132">
            <v>0.1299999999999999</v>
          </cell>
          <cell r="H1132">
            <v>0.1299999999999999</v>
          </cell>
          <cell r="I1132">
            <v>0.1299999999999999</v>
          </cell>
          <cell r="J1132">
            <v>0.1299999999999999</v>
          </cell>
          <cell r="K1132">
            <v>0.1299999999999999</v>
          </cell>
          <cell r="L1132">
            <v>0.1299999999999999</v>
          </cell>
          <cell r="M1132">
            <v>0.1299999999999999</v>
          </cell>
          <cell r="N1132">
            <v>0.1299999999999999</v>
          </cell>
          <cell r="O1132">
            <v>0.1299999999999999</v>
          </cell>
          <cell r="P1132">
            <v>0.1299999999999999</v>
          </cell>
          <cell r="Q1132">
            <v>0.1299999999999999</v>
          </cell>
          <cell r="R1132">
            <v>0.1299999999999999</v>
          </cell>
          <cell r="S1132">
            <v>0.1299999999999999</v>
          </cell>
          <cell r="T1132">
            <v>0.1299999999999999</v>
          </cell>
          <cell r="U1132">
            <v>0.1299999999999999</v>
          </cell>
          <cell r="V1132">
            <v>0.1299999999999999</v>
          </cell>
          <cell r="W1132">
            <v>0.1299999999999999</v>
          </cell>
          <cell r="X1132">
            <v>0.1299999999999999</v>
          </cell>
          <cell r="Y1132">
            <v>0.1299999999999999</v>
          </cell>
          <cell r="Z1132">
            <v>0.1299999999999999</v>
          </cell>
          <cell r="AA1132">
            <v>0.1299999999999999</v>
          </cell>
          <cell r="AB1132">
            <v>0.1299999999999999</v>
          </cell>
          <cell r="AC1132">
            <v>0.1299999999999999</v>
          </cell>
          <cell r="AD1132">
            <v>0.1299999999999999</v>
          </cell>
          <cell r="AE1132">
            <v>0.1299999999999999</v>
          </cell>
          <cell r="AF1132">
            <v>0.1299999999999999</v>
          </cell>
          <cell r="AG1132">
            <v>0.1299999999999999</v>
          </cell>
          <cell r="AH1132">
            <v>0.1299999999999999</v>
          </cell>
          <cell r="AI1132">
            <v>0.1299999999999999</v>
          </cell>
          <cell r="AJ1132">
            <v>0.1299999999999999</v>
          </cell>
          <cell r="AK1132">
            <v>0.1299999999999999</v>
          </cell>
        </row>
        <row r="1133">
          <cell r="A1133" t="str">
            <v> - расчетная на интервал планирования</v>
          </cell>
          <cell r="B1133" t="str">
            <v> - used in calculations per PI</v>
          </cell>
          <cell r="D1133" t="str">
            <v>%</v>
          </cell>
          <cell r="E1133" t="str">
            <v>on_end</v>
          </cell>
          <cell r="F1133">
            <v>0.1299999999999999</v>
          </cell>
          <cell r="G1133">
            <v>0.1299999999999999</v>
          </cell>
          <cell r="H1133">
            <v>0.1299999999999999</v>
          </cell>
          <cell r="I1133">
            <v>0.1299999999999999</v>
          </cell>
          <cell r="J1133">
            <v>0.1299999999999999</v>
          </cell>
          <cell r="K1133">
            <v>0.1299999999999999</v>
          </cell>
          <cell r="L1133">
            <v>0.1299999999999999</v>
          </cell>
          <cell r="M1133">
            <v>0.1299999999999999</v>
          </cell>
          <cell r="N1133">
            <v>0.1299999999999999</v>
          </cell>
          <cell r="O1133">
            <v>0.1299999999999999</v>
          </cell>
          <cell r="P1133">
            <v>0.1299999999999999</v>
          </cell>
          <cell r="Q1133">
            <v>0.1299999999999999</v>
          </cell>
          <cell r="R1133">
            <v>0.1299999999999999</v>
          </cell>
          <cell r="S1133">
            <v>0.1299999999999999</v>
          </cell>
          <cell r="T1133">
            <v>0.1299999999999999</v>
          </cell>
          <cell r="U1133">
            <v>0.1299999999999999</v>
          </cell>
          <cell r="V1133">
            <v>0.1299999999999999</v>
          </cell>
          <cell r="W1133">
            <v>0.1299999999999999</v>
          </cell>
          <cell r="X1133">
            <v>0.1299999999999999</v>
          </cell>
          <cell r="Y1133">
            <v>0.1299999999999999</v>
          </cell>
          <cell r="Z1133">
            <v>0.1299999999999999</v>
          </cell>
          <cell r="AA1133">
            <v>0.1299999999999999</v>
          </cell>
          <cell r="AB1133">
            <v>0.1299999999999999</v>
          </cell>
          <cell r="AC1133">
            <v>0.1299999999999999</v>
          </cell>
          <cell r="AD1133">
            <v>0.1299999999999999</v>
          </cell>
          <cell r="AE1133">
            <v>0.1299999999999999</v>
          </cell>
          <cell r="AF1133">
            <v>0.1299999999999999</v>
          </cell>
          <cell r="AG1133">
            <v>0.1299999999999999</v>
          </cell>
          <cell r="AH1133">
            <v>0.1299999999999999</v>
          </cell>
          <cell r="AI1133">
            <v>0.1299999999999999</v>
          </cell>
          <cell r="AJ1133">
            <v>0.1299999999999999</v>
          </cell>
          <cell r="AK1133">
            <v>0.1299999999999999</v>
          </cell>
        </row>
        <row r="1135">
          <cell r="A1135" t="str">
            <v>Коэффициент дисконтирования</v>
          </cell>
          <cell r="B1135" t="str">
            <v>Factor of discount</v>
          </cell>
          <cell r="E1135" t="str">
            <v>on_end</v>
          </cell>
          <cell r="F1135">
            <v>1</v>
          </cell>
          <cell r="G1135">
            <v>0.8849557522123894</v>
          </cell>
          <cell r="H1135">
            <v>0.783146683373796</v>
          </cell>
          <cell r="I1135">
            <v>0.6930501622776957</v>
          </cell>
          <cell r="J1135">
            <v>0.6133187276793768</v>
          </cell>
          <cell r="K1135">
            <v>0.5427599359994485</v>
          </cell>
          <cell r="L1135">
            <v>0.4803185274331403</v>
          </cell>
          <cell r="M1135">
            <v>0.4250606437461419</v>
          </cell>
          <cell r="N1135">
            <v>0.37615986172224947</v>
          </cell>
          <cell r="O1135">
            <v>0.33288483338252167</v>
          </cell>
          <cell r="P1135">
            <v>0.2945883481261254</v>
          </cell>
          <cell r="Q1135">
            <v>0.26069765320896054</v>
          </cell>
          <cell r="R1135">
            <v>0.23070588779554033</v>
          </cell>
          <cell r="S1135">
            <v>0.2041645024739295</v>
          </cell>
          <cell r="T1135">
            <v>0.18067655086188453</v>
          </cell>
          <cell r="U1135">
            <v>0.15989075297511907</v>
          </cell>
          <cell r="V1135">
            <v>0.14149624157090185</v>
          </cell>
          <cell r="W1135">
            <v>0.1252179128946034</v>
          </cell>
          <cell r="X1135">
            <v>0.11081231229610922</v>
          </cell>
          <cell r="Y1135">
            <v>0.09806399318239754</v>
          </cell>
          <cell r="Z1135">
            <v>0.08678229485167925</v>
          </cell>
          <cell r="AA1135">
            <v>0.07679849101918519</v>
          </cell>
          <cell r="AB1135">
            <v>0.06796326638865947</v>
          </cell>
          <cell r="AC1135">
            <v>0.06014448352978715</v>
          </cell>
          <cell r="AD1135">
            <v>0.05322520666352846</v>
          </cell>
          <cell r="AE1135">
            <v>0.04710195279958271</v>
          </cell>
          <cell r="AF1135">
            <v>0.041683144070427176</v>
          </cell>
          <cell r="AG1135">
            <v>0.036887738115422286</v>
          </cell>
          <cell r="AH1135">
            <v>0.03264401603134716</v>
          </cell>
          <cell r="AI1135">
            <v>0.028888509762254124</v>
          </cell>
          <cell r="AJ1135">
            <v>0.025565052886950556</v>
          </cell>
          <cell r="AK1135">
            <v>0.022623940607920848</v>
          </cell>
        </row>
        <row r="1136">
          <cell r="A1136" t="str">
            <v> = Дисконтированные доходы/расходы по фед. бюджету</v>
          </cell>
          <cell r="B1136" t="str">
            <v>Present value of net cash flow (for fed.budget)</v>
          </cell>
          <cell r="D1136" t="str">
            <v>тыс.руб.</v>
          </cell>
          <cell r="F1136">
            <v>0</v>
          </cell>
          <cell r="G1136">
            <v>0</v>
          </cell>
          <cell r="H1136">
            <v>3799.4114402911323</v>
          </cell>
          <cell r="I1136">
            <v>3889.069430615969</v>
          </cell>
          <cell r="J1136">
            <v>4240.48360552424</v>
          </cell>
          <cell r="K1136">
            <v>4476.3744147401385</v>
          </cell>
          <cell r="L1136">
            <v>4601.110957745366</v>
          </cell>
          <cell r="M1136">
            <v>4581.136762836382</v>
          </cell>
          <cell r="N1136">
            <v>4504.36111509719</v>
          </cell>
          <cell r="O1136">
            <v>4383.9578980586775</v>
          </cell>
          <cell r="P1136">
            <v>4231.039912920135</v>
          </cell>
          <cell r="Q1136">
            <v>4054.7352784087793</v>
          </cell>
          <cell r="R1136">
            <v>3879.473415230172</v>
          </cell>
          <cell r="S1136">
            <v>3690.3667640175786</v>
          </cell>
          <cell r="T1136">
            <v>3493.01019974098</v>
          </cell>
          <cell r="U1136">
            <v>3291.8415763123367</v>
          </cell>
          <cell r="V1136">
            <v>2902.0448899850717</v>
          </cell>
          <cell r="W1136">
            <v>2558.349744765111</v>
          </cell>
          <cell r="X1136">
            <v>2255.0388915124972</v>
          </cell>
          <cell r="Y1136">
            <v>1987.3946274542923</v>
          </cell>
          <cell r="Z1136">
            <v>1751.247998588395</v>
          </cell>
          <cell r="AA1136">
            <v>1542.9151773972164</v>
          </cell>
          <cell r="AB1136">
            <v>1359.1411989317603</v>
          </cell>
          <cell r="AC1136">
            <v>1197.0502057993917</v>
          </cell>
          <cell r="AD1136">
            <v>1054.1014505139174</v>
          </cell>
          <cell r="AE1136">
            <v>928.0503903155085</v>
          </cell>
          <cell r="AF1136">
            <v>816.9142862378843</v>
          </cell>
          <cell r="AG1136">
            <v>718.9417860392997</v>
          </cell>
          <cell r="AH1136">
            <v>632.5860306384799</v>
          </cell>
          <cell r="AI1136">
            <v>567.3241430864928</v>
          </cell>
          <cell r="AJ1136">
            <v>499.08838225671326</v>
          </cell>
          <cell r="AL1136">
            <v>77886.5619750611</v>
          </cell>
        </row>
        <row r="1137">
          <cell r="A1137" t="str">
            <v>То же, нарастающим итогом</v>
          </cell>
          <cell r="B1137" t="str">
            <v>The same, accumulated </v>
          </cell>
          <cell r="D1137" t="str">
            <v>тыс.руб.</v>
          </cell>
          <cell r="E1137" t="str">
            <v>on_end</v>
          </cell>
          <cell r="F1137">
            <v>0</v>
          </cell>
          <cell r="G1137">
            <v>0</v>
          </cell>
          <cell r="H1137">
            <v>3799.4114402911323</v>
          </cell>
          <cell r="I1137">
            <v>7688.480870907101</v>
          </cell>
          <cell r="J1137">
            <v>11928.964476431342</v>
          </cell>
          <cell r="K1137">
            <v>16405.33889117148</v>
          </cell>
          <cell r="L1137">
            <v>21006.449848916847</v>
          </cell>
          <cell r="M1137">
            <v>25587.586611753228</v>
          </cell>
          <cell r="N1137">
            <v>30091.94772685042</v>
          </cell>
          <cell r="O1137">
            <v>34475.90562490909</v>
          </cell>
          <cell r="P1137">
            <v>38706.945537829226</v>
          </cell>
          <cell r="Q1137">
            <v>42761.680816238004</v>
          </cell>
          <cell r="R1137">
            <v>46641.15423146818</v>
          </cell>
          <cell r="S1137">
            <v>50331.52099548576</v>
          </cell>
          <cell r="T1137">
            <v>53824.53119522674</v>
          </cell>
          <cell r="U1137">
            <v>57116.37277153907</v>
          </cell>
          <cell r="V1137">
            <v>60018.417661524145</v>
          </cell>
          <cell r="W1137">
            <v>62576.767406289255</v>
          </cell>
          <cell r="X1137">
            <v>64831.806297801755</v>
          </cell>
          <cell r="Y1137">
            <v>66819.20092525605</v>
          </cell>
          <cell r="Z1137">
            <v>68570.44892384445</v>
          </cell>
          <cell r="AA1137">
            <v>70113.36410124166</v>
          </cell>
          <cell r="AB1137">
            <v>71472.50530017342</v>
          </cell>
          <cell r="AC1137">
            <v>72669.5555059728</v>
          </cell>
          <cell r="AD1137">
            <v>73723.65695648672</v>
          </cell>
          <cell r="AE1137">
            <v>74651.70734680223</v>
          </cell>
          <cell r="AF1137">
            <v>75468.62163304011</v>
          </cell>
          <cell r="AG1137">
            <v>76187.56341907941</v>
          </cell>
          <cell r="AH1137">
            <v>76820.1494497179</v>
          </cell>
          <cell r="AI1137">
            <v>77387.47359280438</v>
          </cell>
          <cell r="AJ1137">
            <v>77886.5619750611</v>
          </cell>
          <cell r="AL1137">
            <v>77886.5619750611</v>
          </cell>
        </row>
        <row r="1141">
          <cell r="A1141" t="str">
            <v>Цт=максимальные Постоянные цены</v>
          </cell>
          <cell r="B1141" t="str">
            <v>Цт=максимальные Постоянные цены</v>
          </cell>
          <cell r="AL1141" t="str">
            <v>АЛЬТ-Инвест™ 3.0</v>
          </cell>
        </row>
        <row r="1142">
          <cell r="A1142" t="str">
            <v>ОСНОВНЫЕ ПОКАЗАТЕЛИ ПРОЕКТА</v>
          </cell>
          <cell r="B1142" t="str">
            <v>SUMMARY</v>
          </cell>
          <cell r="F1142" t="str">
            <v>"0"</v>
          </cell>
          <cell r="G1142" t="str">
            <v>1 год</v>
          </cell>
          <cell r="H1142" t="str">
            <v>2 год</v>
          </cell>
          <cell r="I1142" t="str">
            <v>3 год</v>
          </cell>
          <cell r="J1142" t="str">
            <v>4 год</v>
          </cell>
          <cell r="K1142" t="str">
            <v>5 год</v>
          </cell>
          <cell r="L1142" t="str">
            <v>6 год</v>
          </cell>
          <cell r="M1142" t="str">
            <v>7 год</v>
          </cell>
          <cell r="N1142" t="str">
            <v>8 год</v>
          </cell>
          <cell r="O1142" t="str">
            <v>9 год</v>
          </cell>
          <cell r="P1142" t="str">
            <v>10 год</v>
          </cell>
          <cell r="Q1142" t="str">
            <v>11 год</v>
          </cell>
          <cell r="R1142" t="str">
            <v>12 год</v>
          </cell>
          <cell r="S1142" t="str">
            <v>13 год</v>
          </cell>
          <cell r="T1142" t="str">
            <v>14 год</v>
          </cell>
          <cell r="U1142" t="str">
            <v>15 год</v>
          </cell>
          <cell r="V1142" t="str">
            <v>16 год</v>
          </cell>
          <cell r="W1142" t="str">
            <v>17 год</v>
          </cell>
          <cell r="X1142" t="str">
            <v>18 год</v>
          </cell>
          <cell r="Y1142" t="str">
            <v>19 год</v>
          </cell>
          <cell r="Z1142" t="str">
            <v>20 год</v>
          </cell>
          <cell r="AA1142" t="str">
            <v>21 год</v>
          </cell>
          <cell r="AB1142" t="str">
            <v>22 год</v>
          </cell>
          <cell r="AC1142" t="str">
            <v>23 год</v>
          </cell>
          <cell r="AD1142" t="str">
            <v>24 год</v>
          </cell>
          <cell r="AE1142" t="str">
            <v>25 год</v>
          </cell>
          <cell r="AF1142" t="str">
            <v>26 год</v>
          </cell>
          <cell r="AG1142" t="str">
            <v>27 год</v>
          </cell>
          <cell r="AH1142" t="str">
            <v>28 год</v>
          </cell>
          <cell r="AI1142" t="str">
            <v>29 год</v>
          </cell>
          <cell r="AJ1142" t="str">
            <v>30 год</v>
          </cell>
          <cell r="AL1142" t="str">
            <v>ВСЕГО</v>
          </cell>
        </row>
        <row r="1144">
          <cell r="A1144" t="str">
            <v>Длительность интервала планирования</v>
          </cell>
          <cell r="B1144" t="str">
            <v>Duration of planning interval (PI)</v>
          </cell>
          <cell r="D1144" t="str">
            <v>дни</v>
          </cell>
          <cell r="F1144">
            <v>360</v>
          </cell>
        </row>
        <row r="1146">
          <cell r="A1146" t="str">
            <v>Срок жизни проекта</v>
          </cell>
          <cell r="B1146" t="str">
            <v>Project lifetime</v>
          </cell>
          <cell r="D1146" t="str">
            <v>год</v>
          </cell>
          <cell r="F1146">
            <v>30</v>
          </cell>
        </row>
        <row r="1148">
          <cell r="A1148" t="str">
            <v>Выручка от реализации</v>
          </cell>
          <cell r="B1148" t="str">
            <v>Sales revenues</v>
          </cell>
          <cell r="D1148" t="str">
            <v>тыс.руб.</v>
          </cell>
          <cell r="F1148">
            <v>0</v>
          </cell>
          <cell r="G1148">
            <v>0</v>
          </cell>
          <cell r="H1148">
            <v>168618.4120535637</v>
          </cell>
          <cell r="I1148">
            <v>196221.2241071274</v>
          </cell>
          <cell r="J1148">
            <v>230105.58350928724</v>
          </cell>
          <cell r="K1148">
            <v>263989.9429114471</v>
          </cell>
          <cell r="L1148">
            <v>297874.3023136069</v>
          </cell>
          <cell r="M1148">
            <v>324602.5439709719</v>
          </cell>
          <cell r="N1148">
            <v>351330.78562833695</v>
          </cell>
          <cell r="O1148">
            <v>378059.02728570194</v>
          </cell>
          <cell r="P1148">
            <v>404787.26894306706</v>
          </cell>
          <cell r="Q1148">
            <v>431515.51060043194</v>
          </cell>
          <cell r="R1148">
            <v>461169.8296141684</v>
          </cell>
          <cell r="S1148">
            <v>490824.14862790494</v>
          </cell>
          <cell r="T1148">
            <v>520478.4676416415</v>
          </cell>
          <cell r="U1148">
            <v>550132.786655378</v>
          </cell>
          <cell r="V1148">
            <v>550132.786655378</v>
          </cell>
          <cell r="W1148">
            <v>550132.786655378</v>
          </cell>
          <cell r="X1148">
            <v>550132.786655378</v>
          </cell>
          <cell r="Y1148">
            <v>550132.786655378</v>
          </cell>
          <cell r="Z1148">
            <v>550132.786655378</v>
          </cell>
          <cell r="AA1148">
            <v>550132.786655378</v>
          </cell>
          <cell r="AB1148">
            <v>550132.786655378</v>
          </cell>
          <cell r="AC1148">
            <v>550132.786655378</v>
          </cell>
          <cell r="AD1148">
            <v>550132.786655378</v>
          </cell>
          <cell r="AE1148">
            <v>550132.786655378</v>
          </cell>
          <cell r="AF1148">
            <v>550132.786655378</v>
          </cell>
          <cell r="AG1148">
            <v>550132.786655378</v>
          </cell>
          <cell r="AH1148">
            <v>550132.786655378</v>
          </cell>
          <cell r="AI1148">
            <v>550132.786655378</v>
          </cell>
          <cell r="AJ1148">
            <v>550132.786655378</v>
          </cell>
          <cell r="AL1148">
            <v>13321701.633693298</v>
          </cell>
        </row>
        <row r="1150">
          <cell r="A1150" t="str">
            <v>Себестоимость</v>
          </cell>
          <cell r="B1150" t="str">
            <v>Cost price</v>
          </cell>
          <cell r="D1150" t="str">
            <v>тыс.руб.</v>
          </cell>
          <cell r="F1150">
            <v>0</v>
          </cell>
          <cell r="G1150">
            <v>0</v>
          </cell>
          <cell r="H1150">
            <v>108975.01649999998</v>
          </cell>
          <cell r="I1150">
            <v>127514.63885999999</v>
          </cell>
          <cell r="J1150">
            <v>146255.02794</v>
          </cell>
          <cell r="K1150">
            <v>164641.41702000002</v>
          </cell>
          <cell r="L1150">
            <v>183045.5061</v>
          </cell>
          <cell r="M1150">
            <v>195911.408364</v>
          </cell>
          <cell r="N1150">
            <v>208799.007288</v>
          </cell>
          <cell r="O1150">
            <v>221708.95377179998</v>
          </cell>
          <cell r="P1150">
            <v>234641.91824219396</v>
          </cell>
          <cell r="Q1150">
            <v>247598.5912387798</v>
          </cell>
          <cell r="R1150">
            <v>262630.5133693432</v>
          </cell>
          <cell r="S1150">
            <v>277687.5878753435</v>
          </cell>
          <cell r="T1150">
            <v>292770.56932804384</v>
          </cell>
          <cell r="U1150">
            <v>307880.2349358452</v>
          </cell>
          <cell r="V1150">
            <v>308823.8756074005</v>
          </cell>
          <cell r="W1150">
            <v>309795.82549910253</v>
          </cell>
          <cell r="X1150">
            <v>310796.9338875556</v>
          </cell>
          <cell r="Y1150">
            <v>311828.0755276623</v>
          </cell>
          <cell r="Z1150">
            <v>312890.15141697216</v>
          </cell>
          <cell r="AA1150">
            <v>313984.0895829613</v>
          </cell>
          <cell r="AB1150">
            <v>315110.8458939301</v>
          </cell>
          <cell r="AC1150">
            <v>316271.40489422804</v>
          </cell>
          <cell r="AD1150">
            <v>317466.7806645349</v>
          </cell>
          <cell r="AE1150">
            <v>318698.01770795096</v>
          </cell>
          <cell r="AF1150">
            <v>319966.1918626695</v>
          </cell>
          <cell r="AG1150">
            <v>321272.4112420296</v>
          </cell>
          <cell r="AH1150">
            <v>322617.81720277044</v>
          </cell>
          <cell r="AI1150">
            <v>319733.9889423336</v>
          </cell>
          <cell r="AJ1150">
            <v>321042.73022608354</v>
          </cell>
          <cell r="AL1150">
            <v>7720359.530991535</v>
          </cell>
        </row>
        <row r="1152">
          <cell r="A1152" t="str">
            <v>Налоги и отчисления во внебюджетные фонды, пошлины</v>
          </cell>
          <cell r="B1152" t="str">
            <v>Taxes</v>
          </cell>
          <cell r="D1152" t="str">
            <v>тыс.руб.</v>
          </cell>
          <cell r="F1152">
            <v>0</v>
          </cell>
          <cell r="G1152">
            <v>0</v>
          </cell>
          <cell r="H1152">
            <v>18121.818574263172</v>
          </cell>
          <cell r="I1152">
            <v>20680.0061163516</v>
          </cell>
          <cell r="J1152">
            <v>24676.710688001876</v>
          </cell>
          <cell r="K1152">
            <v>28762.415868348922</v>
          </cell>
          <cell r="L1152">
            <v>32843.873048695976</v>
          </cell>
          <cell r="M1152">
            <v>36450.35108278377</v>
          </cell>
          <cell r="N1152">
            <v>40046.52593741374</v>
          </cell>
          <cell r="O1152">
            <v>43637.3373776917</v>
          </cell>
          <cell r="P1152">
            <v>47222.62450118713</v>
          </cell>
          <cell r="Q1152">
            <v>50802.22157839645</v>
          </cell>
          <cell r="R1152">
            <v>54621.444369600285</v>
          </cell>
          <cell r="S1152">
            <v>58436.700249456575</v>
          </cell>
          <cell r="T1152">
            <v>62245.73846210486</v>
          </cell>
          <cell r="U1152">
            <v>66048.37247752889</v>
          </cell>
          <cell r="V1152">
            <v>65775.4774050971</v>
          </cell>
          <cell r="W1152">
            <v>65475.508847328616</v>
          </cell>
          <cell r="X1152">
            <v>65168.54225033987</v>
          </cell>
          <cell r="Y1152">
            <v>64854.36767295428</v>
          </cell>
          <cell r="Z1152">
            <v>64532.76887575991</v>
          </cell>
          <cell r="AA1152">
            <v>64203.52313216252</v>
          </cell>
          <cell r="AB1152">
            <v>63866.40103377</v>
          </cell>
          <cell r="AC1152">
            <v>63521.1662899385</v>
          </cell>
          <cell r="AD1152">
            <v>63167.575521304854</v>
          </cell>
          <cell r="AE1152">
            <v>62805.378047125</v>
          </cell>
          <cell r="AF1152">
            <v>62434.31566623255</v>
          </cell>
          <cell r="AG1152">
            <v>62054.122431426134</v>
          </cell>
          <cell r="AH1152">
            <v>61664.52441708832</v>
          </cell>
          <cell r="AI1152">
            <v>62322.391548473155</v>
          </cell>
          <cell r="AJ1152">
            <v>62007.39228113317</v>
          </cell>
          <cell r="AL1152">
            <v>1538449.5957519587</v>
          </cell>
        </row>
        <row r="1153">
          <cell r="A1153" t="str">
            <v>НДС в бюджет (+) из бюджета (-)</v>
          </cell>
          <cell r="B1153" t="str">
            <v>VAT in budget (+) from budget (-)</v>
          </cell>
          <cell r="D1153" t="str">
            <v>тыс.руб.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  <cell r="AE1153">
            <v>0</v>
          </cell>
          <cell r="AF1153">
            <v>0</v>
          </cell>
          <cell r="AG1153">
            <v>0</v>
          </cell>
          <cell r="AH1153">
            <v>0</v>
          </cell>
          <cell r="AI1153">
            <v>0</v>
          </cell>
          <cell r="AJ1153">
            <v>0</v>
          </cell>
          <cell r="AL1153">
            <v>0</v>
          </cell>
        </row>
        <row r="1155">
          <cell r="A1155" t="str">
            <v>Чистая прибыль</v>
          </cell>
          <cell r="B1155" t="str">
            <v>Net profit</v>
          </cell>
          <cell r="D1155" t="str">
            <v>тыс.руб.</v>
          </cell>
          <cell r="F1155">
            <v>0</v>
          </cell>
          <cell r="G1155">
            <v>0</v>
          </cell>
          <cell r="H1155">
            <v>41521.57697930053</v>
          </cell>
          <cell r="I1155">
            <v>48026.57913077581</v>
          </cell>
          <cell r="J1155">
            <v>59173.844881285375</v>
          </cell>
          <cell r="K1155">
            <v>70586.11002309814</v>
          </cell>
          <cell r="L1155">
            <v>81984.92316491093</v>
          </cell>
          <cell r="M1155">
            <v>92240.78452418812</v>
          </cell>
          <cell r="N1155">
            <v>102485.25240292322</v>
          </cell>
          <cell r="O1155">
            <v>112712.73613621027</v>
          </cell>
          <cell r="P1155">
            <v>122922.72619968597</v>
          </cell>
          <cell r="Q1155">
            <v>133114.6977832557</v>
          </cell>
          <cell r="R1155">
            <v>143917.87187522493</v>
          </cell>
          <cell r="S1155">
            <v>154699.86050310486</v>
          </cell>
          <cell r="T1155">
            <v>165462.1598514928</v>
          </cell>
          <cell r="U1155">
            <v>176204.17924200388</v>
          </cell>
          <cell r="V1155">
            <v>175533.43364288035</v>
          </cell>
          <cell r="W1155">
            <v>174861.4523089468</v>
          </cell>
          <cell r="X1155">
            <v>174167.31051748246</v>
          </cell>
          <cell r="Y1155">
            <v>173450.34345476137</v>
          </cell>
          <cell r="Z1155">
            <v>172709.86636264587</v>
          </cell>
          <cell r="AA1155">
            <v>171945.17394025414</v>
          </cell>
          <cell r="AB1155">
            <v>171155.53972767782</v>
          </cell>
          <cell r="AC1155">
            <v>170340.2154712114</v>
          </cell>
          <cell r="AD1155">
            <v>169498.4304695382</v>
          </cell>
          <cell r="AE1155">
            <v>168629.39090030198</v>
          </cell>
          <cell r="AF1155">
            <v>167732.2791264759</v>
          </cell>
          <cell r="AG1155">
            <v>166806.25298192224</v>
          </cell>
          <cell r="AH1155">
            <v>165850.4450355192</v>
          </cell>
          <cell r="AI1155">
            <v>168076.40616457118</v>
          </cell>
          <cell r="AJ1155">
            <v>167082.66414816122</v>
          </cell>
          <cell r="AL1155">
            <v>4062892.50694981</v>
          </cell>
        </row>
        <row r="1156">
          <cell r="A1156" t="str">
            <v>То же, нарастающим итогом</v>
          </cell>
          <cell r="B1156" t="str">
            <v>Accumulated net profit</v>
          </cell>
          <cell r="D1156" t="str">
            <v>тыс.руб.</v>
          </cell>
          <cell r="E1156" t="str">
            <v>on_end</v>
          </cell>
          <cell r="F1156">
            <v>0</v>
          </cell>
          <cell r="G1156">
            <v>0</v>
          </cell>
          <cell r="H1156">
            <v>41521.57697930053</v>
          </cell>
          <cell r="I1156">
            <v>89548.15611007635</v>
          </cell>
          <cell r="J1156">
            <v>148722.00099136174</v>
          </cell>
          <cell r="K1156">
            <v>219308.11101445986</v>
          </cell>
          <cell r="L1156">
            <v>301293.0341793708</v>
          </cell>
          <cell r="M1156">
            <v>393533.8187035589</v>
          </cell>
          <cell r="N1156">
            <v>496019.07110648206</v>
          </cell>
          <cell r="O1156">
            <v>608731.8072426923</v>
          </cell>
          <cell r="P1156">
            <v>731654.5334423783</v>
          </cell>
          <cell r="Q1156">
            <v>864769.231225634</v>
          </cell>
          <cell r="R1156">
            <v>1008687.1031008589</v>
          </cell>
          <cell r="S1156">
            <v>1163386.9636039636</v>
          </cell>
          <cell r="T1156">
            <v>1328849.1234554565</v>
          </cell>
          <cell r="U1156">
            <v>1505053.3026974604</v>
          </cell>
          <cell r="V1156">
            <v>1680586.7363403407</v>
          </cell>
          <cell r="W1156">
            <v>1855448.1886492874</v>
          </cell>
          <cell r="X1156">
            <v>2029615.49916677</v>
          </cell>
          <cell r="Y1156">
            <v>2203065.8426215313</v>
          </cell>
          <cell r="Z1156">
            <v>2375775.708984177</v>
          </cell>
          <cell r="AA1156">
            <v>2547720.882924431</v>
          </cell>
          <cell r="AB1156">
            <v>2718876.4226521086</v>
          </cell>
          <cell r="AC1156">
            <v>2889216.63812332</v>
          </cell>
          <cell r="AD1156">
            <v>3058715.068592858</v>
          </cell>
          <cell r="AE1156">
            <v>3227344.4594931602</v>
          </cell>
          <cell r="AF1156">
            <v>3395076.7386196363</v>
          </cell>
          <cell r="AG1156">
            <v>3561882.9916015584</v>
          </cell>
          <cell r="AH1156">
            <v>3727733.4366370775</v>
          </cell>
          <cell r="AI1156">
            <v>3895809.8428016487</v>
          </cell>
          <cell r="AJ1156">
            <v>4062892.50694981</v>
          </cell>
          <cell r="AL1156">
            <v>4062892.50694981</v>
          </cell>
        </row>
        <row r="1158">
          <cell r="A1158" t="str">
            <v>Дивиденды, выплаченные</v>
          </cell>
          <cell r="B1158" t="str">
            <v>Dividends payable</v>
          </cell>
          <cell r="D1158" t="str">
            <v>тыс.руб.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L1158">
            <v>0</v>
          </cell>
        </row>
        <row r="1160">
          <cell r="A1160" t="str">
            <v>Потребность в финансировании постоянных активов</v>
          </cell>
          <cell r="B1160" t="str">
            <v>Increase in fixed assets</v>
          </cell>
          <cell r="D1160" t="str">
            <v>тыс.руб.</v>
          </cell>
          <cell r="F1160">
            <v>0</v>
          </cell>
          <cell r="G1160">
            <v>118599.9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0</v>
          </cell>
          <cell r="AE1160">
            <v>0</v>
          </cell>
          <cell r="AF1160">
            <v>0</v>
          </cell>
          <cell r="AG1160">
            <v>0</v>
          </cell>
          <cell r="AH1160">
            <v>0</v>
          </cell>
          <cell r="AI1160">
            <v>0</v>
          </cell>
          <cell r="AJ1160">
            <v>0</v>
          </cell>
          <cell r="AL1160">
            <v>118599.9</v>
          </cell>
        </row>
        <row r="1162">
          <cell r="A1162" t="str">
            <v>Потребность в финансировании чистого оборотного капитала</v>
          </cell>
          <cell r="B1162" t="str">
            <v>Increase in net working capital requirements</v>
          </cell>
          <cell r="D1162" t="str">
            <v>тыс.руб.</v>
          </cell>
          <cell r="F1162">
            <v>0</v>
          </cell>
          <cell r="G1162">
            <v>22744.4025255</v>
          </cell>
          <cell r="H1162">
            <v>20289.810539981027</v>
          </cell>
          <cell r="I1162">
            <v>10438.614632602876</v>
          </cell>
          <cell r="J1162">
            <v>11644.66329954307</v>
          </cell>
          <cell r="K1162">
            <v>12427.84830585598</v>
          </cell>
          <cell r="L1162">
            <v>13174.892688215969</v>
          </cell>
          <cell r="M1162">
            <v>12627.645136837826</v>
          </cell>
          <cell r="N1162">
            <v>12653.029455890046</v>
          </cell>
          <cell r="O1162">
            <v>12681.882870215026</v>
          </cell>
          <cell r="P1162">
            <v>12714.965560232198</v>
          </cell>
          <cell r="Q1162">
            <v>12786.01521859226</v>
          </cell>
          <cell r="R1162">
            <v>13311.68623319854</v>
          </cell>
          <cell r="S1162">
            <v>13624.908415515005</v>
          </cell>
          <cell r="T1162">
            <v>13943.14939222761</v>
          </cell>
          <cell r="U1162">
            <v>14033.677406563136</v>
          </cell>
          <cell r="V1162">
            <v>12207.415373688942</v>
          </cell>
          <cell r="W1162">
            <v>12388.534279843501</v>
          </cell>
          <cell r="X1162">
            <v>12572.47579684816</v>
          </cell>
          <cell r="Y1162">
            <v>12761.935559362835</v>
          </cell>
          <cell r="Z1162">
            <v>12957.079114753134</v>
          </cell>
          <cell r="AA1162">
            <v>13158.076976804936</v>
          </cell>
          <cell r="AB1162">
            <v>13365.104774718428</v>
          </cell>
          <cell r="AC1162">
            <v>13578.343406569307</v>
          </cell>
          <cell r="AD1162">
            <v>13797.97919737562</v>
          </cell>
          <cell r="AE1162">
            <v>14024.204061906212</v>
          </cell>
          <cell r="AF1162">
            <v>14257.215672372753</v>
          </cell>
          <cell r="AG1162">
            <v>14497.21763115318</v>
          </cell>
          <cell r="AH1162">
            <v>14744.419648697116</v>
          </cell>
          <cell r="AI1162">
            <v>14866.893718187253</v>
          </cell>
          <cell r="AJ1162">
            <v>15249.511447114557</v>
          </cell>
          <cell r="AL1162" t="str">
            <v>-</v>
          </cell>
        </row>
        <row r="1164">
          <cell r="A1164" t="str">
            <v>Чистые доходы для полных инвестиционных затрат</v>
          </cell>
          <cell r="B1164" t="str">
            <v>Net cash flow for total investment costs</v>
          </cell>
          <cell r="D1164" t="str">
            <v>тыс.руб.</v>
          </cell>
          <cell r="F1164">
            <v>0</v>
          </cell>
          <cell r="G1164">
            <v>-141344.3025255</v>
          </cell>
          <cell r="H1164">
            <v>25619.96273931951</v>
          </cell>
          <cell r="I1164">
            <v>41976.16079817293</v>
          </cell>
          <cell r="J1164">
            <v>51917.377881742286</v>
          </cell>
          <cell r="K1164">
            <v>62546.4580172422</v>
          </cell>
          <cell r="L1164">
            <v>73198.22677669497</v>
          </cell>
          <cell r="M1164">
            <v>84001.3356873503</v>
          </cell>
          <cell r="N1164">
            <v>94220.41924703319</v>
          </cell>
          <cell r="O1164">
            <v>104419.04956599523</v>
          </cell>
          <cell r="P1164">
            <v>114595.95693945378</v>
          </cell>
          <cell r="Q1164">
            <v>124716.87886466342</v>
          </cell>
          <cell r="R1164">
            <v>134994.38194202638</v>
          </cell>
          <cell r="S1164">
            <v>145463.14838758984</v>
          </cell>
          <cell r="T1164">
            <v>155907.20675926522</v>
          </cell>
          <cell r="U1164">
            <v>166558.69813544076</v>
          </cell>
          <cell r="V1164">
            <v>167714.21456919145</v>
          </cell>
          <cell r="W1164">
            <v>166861.11432910332</v>
          </cell>
          <cell r="X1164">
            <v>165983.03102063428</v>
          </cell>
          <cell r="Y1164">
            <v>165076.60419539857</v>
          </cell>
          <cell r="Z1164">
            <v>164140.98354789277</v>
          </cell>
          <cell r="AA1164">
            <v>163175.29326344922</v>
          </cell>
          <cell r="AB1164">
            <v>162178.63125295943</v>
          </cell>
          <cell r="AC1164">
            <v>161150.0683646421</v>
          </cell>
          <cell r="AD1164">
            <v>160088.64757216262</v>
          </cell>
          <cell r="AE1164">
            <v>158993.3831383958</v>
          </cell>
          <cell r="AF1164">
            <v>157863.2597541032</v>
          </cell>
          <cell r="AG1164">
            <v>156697.23165076907</v>
          </cell>
          <cell r="AH1164">
            <v>155494.22168682207</v>
          </cell>
          <cell r="AI1164">
            <v>153328.11234638403</v>
          </cell>
          <cell r="AJ1164">
            <v>151833.15270104667</v>
          </cell>
          <cell r="AK1164">
            <v>413523.5983403665</v>
          </cell>
          <cell r="AL1164">
            <v>4062892.5069498112</v>
          </cell>
        </row>
        <row r="1165">
          <cell r="A1165" t="str">
            <v>То же, нарастающим итогом</v>
          </cell>
          <cell r="B1165" t="str">
            <v>Accumulated net cash flow</v>
          </cell>
          <cell r="D1165" t="str">
            <v>тыс.руб.</v>
          </cell>
          <cell r="E1165" t="str">
            <v>on_end</v>
          </cell>
          <cell r="F1165">
            <v>-1E-12</v>
          </cell>
          <cell r="G1165">
            <v>-141344.3025255</v>
          </cell>
          <cell r="H1165">
            <v>-115724.3397861805</v>
          </cell>
          <cell r="I1165">
            <v>-73748.17898800757</v>
          </cell>
          <cell r="J1165">
            <v>-21830.80110626528</v>
          </cell>
          <cell r="K1165">
            <v>40715.65691097692</v>
          </cell>
          <cell r="L1165">
            <v>113913.88368767189</v>
          </cell>
          <cell r="M1165">
            <v>197915.2193750222</v>
          </cell>
          <cell r="N1165">
            <v>292135.6386220554</v>
          </cell>
          <cell r="O1165">
            <v>396554.68818805064</v>
          </cell>
          <cell r="P1165">
            <v>511150.6451275044</v>
          </cell>
          <cell r="Q1165">
            <v>635867.5239921678</v>
          </cell>
          <cell r="R1165">
            <v>770861.9059341941</v>
          </cell>
          <cell r="S1165">
            <v>916325.054321784</v>
          </cell>
          <cell r="T1165">
            <v>1072232.2610810492</v>
          </cell>
          <cell r="U1165">
            <v>1238790.95921649</v>
          </cell>
          <cell r="V1165">
            <v>1406505.1737856814</v>
          </cell>
          <cell r="W1165">
            <v>1573366.2881147848</v>
          </cell>
          <cell r="X1165">
            <v>1739349.319135419</v>
          </cell>
          <cell r="Y1165">
            <v>1904425.9233308176</v>
          </cell>
          <cell r="Z1165">
            <v>2068566.9068787103</v>
          </cell>
          <cell r="AA1165">
            <v>2231742.2001421596</v>
          </cell>
          <cell r="AB1165">
            <v>2393920.831395119</v>
          </cell>
          <cell r="AC1165">
            <v>2555070.899759761</v>
          </cell>
          <cell r="AD1165">
            <v>2715159.5473319236</v>
          </cell>
          <cell r="AE1165">
            <v>2874152.9304703195</v>
          </cell>
          <cell r="AF1165">
            <v>3032016.1902244226</v>
          </cell>
          <cell r="AG1165">
            <v>3188713.421875192</v>
          </cell>
          <cell r="AH1165">
            <v>3344207.6435620137</v>
          </cell>
          <cell r="AI1165">
            <v>3497535.755908398</v>
          </cell>
          <cell r="AJ1165">
            <v>3649368.9086094447</v>
          </cell>
          <cell r="AK1165">
            <v>4062892.5069498112</v>
          </cell>
          <cell r="AL1165">
            <v>4062892.5069498112</v>
          </cell>
        </row>
        <row r="1167">
          <cell r="A1167" t="str">
            <v>Ставка сравнения (номинальная годовая)</v>
          </cell>
          <cell r="B1167" t="str">
            <v>Rate of discount (nominal "banking" per year)</v>
          </cell>
          <cell r="D1167">
            <v>0</v>
          </cell>
          <cell r="F1167">
            <v>0.15</v>
          </cell>
        </row>
        <row r="1168">
          <cell r="A1168" t="str">
            <v>NPV</v>
          </cell>
          <cell r="B1168" t="str">
            <v>Net present value</v>
          </cell>
          <cell r="D1168" t="str">
            <v>тыс.руб.</v>
          </cell>
          <cell r="F1168">
            <v>378667.5687742861</v>
          </cell>
        </row>
        <row r="1169">
          <cell r="A1169" t="str">
            <v>IRR (номинальная годовая)</v>
          </cell>
          <cell r="B1169" t="str">
            <v>Internal rate of return (nominal "banking" per year)</v>
          </cell>
          <cell r="D1169" t="str">
            <v>%</v>
          </cell>
          <cell r="F1169">
            <v>0.39473981488114607</v>
          </cell>
        </row>
        <row r="1170">
          <cell r="A1170" t="str">
            <v>Простой срок окупаемости</v>
          </cell>
          <cell r="B1170" t="str">
            <v>Simple pay-back period</v>
          </cell>
          <cell r="D1170" t="str">
            <v>лет</v>
          </cell>
          <cell r="F1170">
            <v>4.349033371326113</v>
          </cell>
          <cell r="G1170" t="str">
            <v/>
          </cell>
        </row>
        <row r="1171">
          <cell r="A1171" t="str">
            <v>Дисконтированный срок окупаемости</v>
          </cell>
          <cell r="B1171" t="str">
            <v>Discounted pay-back period</v>
          </cell>
          <cell r="D1171" t="str">
            <v>лет</v>
          </cell>
          <cell r="F1171">
            <v>5.478901646423608</v>
          </cell>
          <cell r="G1171" t="str">
            <v/>
          </cell>
        </row>
        <row r="1173">
          <cell r="A1173" t="str">
            <v>Увеличение уставного капитала и целевое финансирование</v>
          </cell>
          <cell r="B1173" t="str">
            <v>Increase in statutory equity &amp; Target financing</v>
          </cell>
          <cell r="D1173" t="str">
            <v>тыс.руб.</v>
          </cell>
          <cell r="F1173">
            <v>539186.756392189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L1173">
            <v>539186.756392189</v>
          </cell>
        </row>
        <row r="1175">
          <cell r="A1175" t="str">
            <v>Привлечение кредитов</v>
          </cell>
          <cell r="B1175" t="str">
            <v>Increase of principal</v>
          </cell>
          <cell r="D1175" t="str">
            <v>тыс.руб.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0</v>
          </cell>
          <cell r="AE1175">
            <v>0</v>
          </cell>
          <cell r="AF1175">
            <v>0</v>
          </cell>
          <cell r="AG1175">
            <v>0</v>
          </cell>
          <cell r="AH1175">
            <v>0</v>
          </cell>
          <cell r="AI1175">
            <v>0</v>
          </cell>
          <cell r="AJ1175">
            <v>0</v>
          </cell>
          <cell r="AL1175">
            <v>0</v>
          </cell>
        </row>
        <row r="1177">
          <cell r="A1177" t="str">
            <v>Погашение задолженности</v>
          </cell>
          <cell r="B1177" t="str">
            <v>Disbursement of principal</v>
          </cell>
          <cell r="D1177" t="str">
            <v>тыс.руб.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  <cell r="Z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0</v>
          </cell>
          <cell r="AE1177">
            <v>0</v>
          </cell>
          <cell r="AF1177">
            <v>0</v>
          </cell>
          <cell r="AG1177">
            <v>0</v>
          </cell>
          <cell r="AH1177">
            <v>0</v>
          </cell>
          <cell r="AI1177">
            <v>0</v>
          </cell>
          <cell r="AJ1177">
            <v>0</v>
          </cell>
          <cell r="AL1177">
            <v>0</v>
          </cell>
        </row>
        <row r="1179">
          <cell r="A1179" t="str">
            <v>Выплаты процентов по кредитам</v>
          </cell>
          <cell r="B1179" t="str">
            <v>Interest paid</v>
          </cell>
          <cell r="D1179" t="str">
            <v>тыс.руб.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  <cell r="X1179">
            <v>0</v>
          </cell>
          <cell r="Y1179">
            <v>0</v>
          </cell>
          <cell r="Z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0</v>
          </cell>
          <cell r="AE1179">
            <v>0</v>
          </cell>
          <cell r="AF1179">
            <v>0</v>
          </cell>
          <cell r="AG1179">
            <v>0</v>
          </cell>
          <cell r="AH1179">
            <v>0</v>
          </cell>
          <cell r="AI1179">
            <v>0</v>
          </cell>
          <cell r="AJ1179">
            <v>0</v>
          </cell>
          <cell r="AL1179">
            <v>0</v>
          </cell>
        </row>
        <row r="1181">
          <cell r="A1181" t="str">
            <v>Общий коэффициент покрытия долга</v>
          </cell>
          <cell r="B1181" t="str">
            <v>Debt-service coverage</v>
          </cell>
          <cell r="D1181" t="str">
            <v>разы</v>
          </cell>
          <cell r="F1181" t="str">
            <v>-</v>
          </cell>
          <cell r="G1181" t="str">
            <v>-</v>
          </cell>
          <cell r="H1181" t="str">
            <v>-</v>
          </cell>
          <cell r="I1181" t="str">
            <v>-</v>
          </cell>
          <cell r="J1181" t="str">
            <v>-</v>
          </cell>
          <cell r="K1181" t="str">
            <v>-</v>
          </cell>
          <cell r="L1181" t="str">
            <v>-</v>
          </cell>
          <cell r="M1181" t="str">
            <v>-</v>
          </cell>
          <cell r="N1181" t="str">
            <v>-</v>
          </cell>
          <cell r="O1181" t="str">
            <v>-</v>
          </cell>
          <cell r="P1181" t="str">
            <v>-</v>
          </cell>
          <cell r="Q1181" t="str">
            <v>-</v>
          </cell>
          <cell r="R1181" t="str">
            <v>-</v>
          </cell>
          <cell r="S1181" t="str">
            <v>-</v>
          </cell>
          <cell r="T1181" t="str">
            <v>-</v>
          </cell>
          <cell r="U1181" t="str">
            <v>-</v>
          </cell>
          <cell r="V1181" t="str">
            <v>-</v>
          </cell>
          <cell r="W1181" t="str">
            <v>-</v>
          </cell>
          <cell r="X1181" t="str">
            <v>-</v>
          </cell>
          <cell r="Y1181" t="str">
            <v>-</v>
          </cell>
          <cell r="Z1181" t="str">
            <v>-</v>
          </cell>
          <cell r="AA1181" t="str">
            <v>-</v>
          </cell>
          <cell r="AB1181" t="str">
            <v>-</v>
          </cell>
          <cell r="AC1181" t="str">
            <v>-</v>
          </cell>
          <cell r="AD1181" t="str">
            <v>-</v>
          </cell>
          <cell r="AE1181" t="str">
            <v>-</v>
          </cell>
          <cell r="AF1181" t="str">
            <v>-</v>
          </cell>
          <cell r="AG1181" t="str">
            <v>-</v>
          </cell>
          <cell r="AH1181" t="str">
            <v>-</v>
          </cell>
          <cell r="AI1181" t="str">
            <v>-</v>
          </cell>
          <cell r="AJ1181" t="str">
            <v>-</v>
          </cell>
        </row>
        <row r="1183">
          <cell r="A1183" t="str">
            <v>Свободные денежные средства</v>
          </cell>
          <cell r="B1183" t="str">
            <v>Accumulated cash balance</v>
          </cell>
          <cell r="D1183" t="str">
            <v>тыс.руб.</v>
          </cell>
          <cell r="E1183" t="str">
            <v>on_end</v>
          </cell>
          <cell r="F1183">
            <v>539186.756392189</v>
          </cell>
          <cell r="G1183">
            <v>397842.45386668894</v>
          </cell>
          <cell r="H1183">
            <v>423462.4166060084</v>
          </cell>
          <cell r="I1183">
            <v>465438.57740418136</v>
          </cell>
          <cell r="J1183">
            <v>517355.9552859237</v>
          </cell>
          <cell r="K1183">
            <v>579902.4133031658</v>
          </cell>
          <cell r="L1183">
            <v>653100.6400798608</v>
          </cell>
          <cell r="M1183">
            <v>737101.975767211</v>
          </cell>
          <cell r="N1183">
            <v>831322.3950142442</v>
          </cell>
          <cell r="O1183">
            <v>935741.4445802395</v>
          </cell>
          <cell r="P1183">
            <v>1050337.4015196932</v>
          </cell>
          <cell r="Q1183">
            <v>1175054.2803843566</v>
          </cell>
          <cell r="R1183">
            <v>1310048.662326383</v>
          </cell>
          <cell r="S1183">
            <v>1455511.810713973</v>
          </cell>
          <cell r="T1183">
            <v>1611419.017473238</v>
          </cell>
          <cell r="U1183">
            <v>1777977.7156086788</v>
          </cell>
          <cell r="V1183">
            <v>1945691.9301778702</v>
          </cell>
          <cell r="W1183">
            <v>2112553.0445069736</v>
          </cell>
          <cell r="X1183">
            <v>2278536.075527608</v>
          </cell>
          <cell r="Y1183">
            <v>2443612.6797230067</v>
          </cell>
          <cell r="Z1183">
            <v>2607753.6632708996</v>
          </cell>
          <cell r="AA1183">
            <v>2770928.956534349</v>
          </cell>
          <cell r="AB1183">
            <v>2933107.5877873083</v>
          </cell>
          <cell r="AC1183">
            <v>3094257.6561519504</v>
          </cell>
          <cell r="AD1183">
            <v>3254346.303724113</v>
          </cell>
          <cell r="AE1183">
            <v>3413339.6868625088</v>
          </cell>
          <cell r="AF1183">
            <v>3571202.946616612</v>
          </cell>
          <cell r="AG1183">
            <v>3727900.178267381</v>
          </cell>
          <cell r="AH1183">
            <v>3883394.399954203</v>
          </cell>
          <cell r="AI1183">
            <v>4036722.5123005873</v>
          </cell>
          <cell r="AJ1183">
            <v>4188555.665001634</v>
          </cell>
          <cell r="AK1183">
            <v>0</v>
          </cell>
          <cell r="AL1183">
            <v>0</v>
          </cell>
        </row>
        <row r="1186">
          <cell r="A1186" t="str">
            <v>Цт=максимальные Постоянные цены</v>
          </cell>
          <cell r="B1186" t="str">
            <v>Цт=максимальные Постоянные цены</v>
          </cell>
          <cell r="AK1186" t="str">
            <v>АЛЬТ-Инвест™ 3.0</v>
          </cell>
        </row>
        <row r="1187">
          <cell r="A1187" t="str">
            <v>ИНДЕКСЫ ИЗМЕНЕНИЯ ЦЕН</v>
          </cell>
          <cell r="B1187" t="str">
            <v>PRICE CHANGE INDICES</v>
          </cell>
          <cell r="F1187" t="str">
            <v>"0"</v>
          </cell>
          <cell r="G1187" t="str">
            <v>1 год</v>
          </cell>
          <cell r="H1187" t="str">
            <v>2 год</v>
          </cell>
          <cell r="I1187" t="str">
            <v>3 год</v>
          </cell>
          <cell r="J1187" t="str">
            <v>4 год</v>
          </cell>
          <cell r="K1187" t="str">
            <v>5 год</v>
          </cell>
          <cell r="L1187" t="str">
            <v>6 год</v>
          </cell>
          <cell r="M1187" t="str">
            <v>7 год</v>
          </cell>
          <cell r="N1187" t="str">
            <v>8 год</v>
          </cell>
          <cell r="O1187" t="str">
            <v>9 год</v>
          </cell>
          <cell r="P1187" t="str">
            <v>10 год</v>
          </cell>
          <cell r="Q1187" t="str">
            <v>11 год</v>
          </cell>
          <cell r="R1187" t="str">
            <v>12 год</v>
          </cell>
          <cell r="S1187" t="str">
            <v>13 год</v>
          </cell>
          <cell r="T1187" t="str">
            <v>14 год</v>
          </cell>
          <cell r="U1187" t="str">
            <v>15 год</v>
          </cell>
          <cell r="V1187" t="str">
            <v>16 год</v>
          </cell>
          <cell r="W1187" t="str">
            <v>17 год</v>
          </cell>
          <cell r="X1187" t="str">
            <v>18 год</v>
          </cell>
          <cell r="Y1187" t="str">
            <v>19 год</v>
          </cell>
          <cell r="Z1187" t="str">
            <v>20 год</v>
          </cell>
          <cell r="AA1187" t="str">
            <v>21 год</v>
          </cell>
          <cell r="AB1187" t="str">
            <v>22 год</v>
          </cell>
          <cell r="AC1187" t="str">
            <v>23 год</v>
          </cell>
          <cell r="AD1187" t="str">
            <v>24 год</v>
          </cell>
          <cell r="AE1187" t="str">
            <v>25 год</v>
          </cell>
          <cell r="AF1187" t="str">
            <v>26 год</v>
          </cell>
          <cell r="AG1187" t="str">
            <v>27 год</v>
          </cell>
          <cell r="AH1187" t="str">
            <v>28 год</v>
          </cell>
          <cell r="AI1187" t="str">
            <v>29 год</v>
          </cell>
          <cell r="AJ1187" t="str">
            <v>30 год</v>
          </cell>
        </row>
        <row r="1189">
          <cell r="A1189" t="str">
            <v>Общий ежемесячный темп изменения цен (местная валюта)</v>
          </cell>
          <cell r="B1189" t="str">
            <v>General price changes (monthly rate for local currency)</v>
          </cell>
          <cell r="D1189" t="str">
            <v>%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A1190" t="str">
            <v>Общий ежемеячный темп изменения цен (иностранная валюта)</v>
          </cell>
          <cell r="B1190" t="str">
            <v>General price changes (monthly rate for foreign currency)</v>
          </cell>
          <cell r="D1190" t="str">
            <v>%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2">
          <cell r="A1192" t="str">
            <v>Выручка в местной валюте</v>
          </cell>
          <cell r="B1192" t="str">
            <v>Sales (in local currency)</v>
          </cell>
        </row>
        <row r="1193">
          <cell r="A1193" t="str">
            <v>Электроэнергия</v>
          </cell>
          <cell r="B1193" t="str">
            <v> inflation rate of foregn currency</v>
          </cell>
          <cell r="E1193" t="str">
            <v>,on_end</v>
          </cell>
          <cell r="F1193">
            <v>1</v>
          </cell>
          <cell r="G1193">
            <v>1</v>
          </cell>
          <cell r="H1193">
            <v>1</v>
          </cell>
          <cell r="I1193">
            <v>1</v>
          </cell>
          <cell r="J1193">
            <v>1</v>
          </cell>
          <cell r="K1193">
            <v>1</v>
          </cell>
          <cell r="L1193">
            <v>1</v>
          </cell>
          <cell r="M1193">
            <v>1</v>
          </cell>
          <cell r="N1193">
            <v>1</v>
          </cell>
          <cell r="O1193">
            <v>1</v>
          </cell>
          <cell r="P1193">
            <v>1</v>
          </cell>
          <cell r="Q1193">
            <v>1</v>
          </cell>
          <cell r="R1193">
            <v>1</v>
          </cell>
          <cell r="S1193">
            <v>1</v>
          </cell>
          <cell r="T1193">
            <v>1</v>
          </cell>
          <cell r="U1193">
            <v>1</v>
          </cell>
          <cell r="V1193">
            <v>1</v>
          </cell>
          <cell r="W1193">
            <v>1</v>
          </cell>
          <cell r="X1193">
            <v>1</v>
          </cell>
          <cell r="Y1193">
            <v>1</v>
          </cell>
          <cell r="Z1193">
            <v>1</v>
          </cell>
          <cell r="AA1193">
            <v>1</v>
          </cell>
          <cell r="AB1193">
            <v>1</v>
          </cell>
          <cell r="AC1193">
            <v>1</v>
          </cell>
          <cell r="AD1193">
            <v>1</v>
          </cell>
          <cell r="AE1193">
            <v>1</v>
          </cell>
          <cell r="AF1193">
            <v>1</v>
          </cell>
          <cell r="AG1193">
            <v>1</v>
          </cell>
          <cell r="AH1193">
            <v>1</v>
          </cell>
          <cell r="AI1193">
            <v>1</v>
          </cell>
          <cell r="AJ1193">
            <v>1</v>
          </cell>
        </row>
        <row r="1194">
          <cell r="A1194" t="str">
            <v>Выручка в иностранной валюте</v>
          </cell>
          <cell r="B1194" t="str">
            <v>Sales (in foreign currency)</v>
          </cell>
        </row>
        <row r="1195">
          <cell r="A1195" t="str">
            <v>Электроэнергия</v>
          </cell>
          <cell r="B1195" t="str">
            <v>Price index per PI</v>
          </cell>
          <cell r="E1195" t="str">
            <v>,on_end</v>
          </cell>
          <cell r="F1195">
            <v>1</v>
          </cell>
          <cell r="G1195">
            <v>1</v>
          </cell>
          <cell r="H1195">
            <v>1</v>
          </cell>
          <cell r="I1195">
            <v>1</v>
          </cell>
          <cell r="J1195">
            <v>1</v>
          </cell>
          <cell r="K1195">
            <v>1</v>
          </cell>
          <cell r="L1195">
            <v>1</v>
          </cell>
          <cell r="M1195">
            <v>1</v>
          </cell>
          <cell r="N1195">
            <v>1</v>
          </cell>
          <cell r="O1195">
            <v>1</v>
          </cell>
          <cell r="P1195">
            <v>1</v>
          </cell>
          <cell r="Q1195">
            <v>1</v>
          </cell>
          <cell r="R1195">
            <v>1</v>
          </cell>
          <cell r="S1195">
            <v>1</v>
          </cell>
          <cell r="T1195">
            <v>1</v>
          </cell>
          <cell r="U1195">
            <v>1</v>
          </cell>
          <cell r="V1195">
            <v>1</v>
          </cell>
          <cell r="W1195">
            <v>1</v>
          </cell>
          <cell r="X1195">
            <v>1</v>
          </cell>
          <cell r="Y1195">
            <v>1</v>
          </cell>
          <cell r="Z1195">
            <v>1</v>
          </cell>
          <cell r="AA1195">
            <v>1</v>
          </cell>
          <cell r="AB1195">
            <v>1</v>
          </cell>
          <cell r="AC1195">
            <v>1</v>
          </cell>
          <cell r="AD1195">
            <v>1</v>
          </cell>
          <cell r="AE1195">
            <v>1</v>
          </cell>
          <cell r="AF1195">
            <v>1</v>
          </cell>
          <cell r="AG1195">
            <v>1</v>
          </cell>
          <cell r="AH1195">
            <v>1</v>
          </cell>
          <cell r="AI1195">
            <v>1</v>
          </cell>
          <cell r="AJ1195">
            <v>1</v>
          </cell>
        </row>
        <row r="1196">
          <cell r="A1196" t="str">
            <v>Расходы на сырье и материалы в местной валюте</v>
          </cell>
          <cell r="B1196" t="str">
            <v>Row materials &amp; supplies costs (in local currency)</v>
          </cell>
        </row>
        <row r="1197">
          <cell r="A1197" t="str">
            <v>на энергию и тепло</v>
          </cell>
          <cell r="B1197" t="str">
            <v>Cost name 1</v>
          </cell>
          <cell r="E1197" t="str">
            <v>,on_end</v>
          </cell>
          <cell r="F1197">
            <v>1</v>
          </cell>
          <cell r="G1197">
            <v>1</v>
          </cell>
          <cell r="H1197">
            <v>1</v>
          </cell>
          <cell r="I1197">
            <v>1</v>
          </cell>
          <cell r="J1197">
            <v>1</v>
          </cell>
          <cell r="K1197">
            <v>1</v>
          </cell>
          <cell r="L1197">
            <v>1</v>
          </cell>
          <cell r="M1197">
            <v>1</v>
          </cell>
          <cell r="N1197">
            <v>1</v>
          </cell>
          <cell r="O1197">
            <v>1</v>
          </cell>
          <cell r="P1197">
            <v>1</v>
          </cell>
          <cell r="Q1197">
            <v>1</v>
          </cell>
          <cell r="R1197">
            <v>1</v>
          </cell>
          <cell r="S1197">
            <v>1</v>
          </cell>
          <cell r="T1197">
            <v>1</v>
          </cell>
          <cell r="U1197">
            <v>1</v>
          </cell>
          <cell r="V1197">
            <v>1</v>
          </cell>
          <cell r="W1197">
            <v>1</v>
          </cell>
          <cell r="X1197">
            <v>1</v>
          </cell>
          <cell r="Y1197">
            <v>1</v>
          </cell>
          <cell r="Z1197">
            <v>1</v>
          </cell>
          <cell r="AA1197">
            <v>1</v>
          </cell>
          <cell r="AB1197">
            <v>1</v>
          </cell>
          <cell r="AC1197">
            <v>1</v>
          </cell>
          <cell r="AD1197">
            <v>1</v>
          </cell>
          <cell r="AE1197">
            <v>1</v>
          </cell>
          <cell r="AF1197">
            <v>1</v>
          </cell>
          <cell r="AG1197">
            <v>1</v>
          </cell>
          <cell r="AH1197">
            <v>1</v>
          </cell>
          <cell r="AI1197">
            <v>1</v>
          </cell>
          <cell r="AJ1197">
            <v>1</v>
          </cell>
        </row>
        <row r="1198">
          <cell r="A1198" t="str">
            <v>Расходы на сырье и материалы в иностранной валюте</v>
          </cell>
          <cell r="B1198" t="str">
            <v>Row materials &amp; supplies costs (in foreign currency)</v>
          </cell>
        </row>
        <row r="1199">
          <cell r="A1199" t="str">
            <v>на энергию</v>
          </cell>
          <cell r="B1199" t="str">
            <v>Cost name 1</v>
          </cell>
          <cell r="E1199" t="str">
            <v>,on_end</v>
          </cell>
          <cell r="F1199">
            <v>1</v>
          </cell>
          <cell r="G1199">
            <v>1</v>
          </cell>
          <cell r="H1199">
            <v>1</v>
          </cell>
          <cell r="I1199">
            <v>1</v>
          </cell>
          <cell r="J1199">
            <v>1</v>
          </cell>
          <cell r="K1199">
            <v>1</v>
          </cell>
          <cell r="L1199">
            <v>1</v>
          </cell>
          <cell r="M1199">
            <v>1</v>
          </cell>
          <cell r="N1199">
            <v>1</v>
          </cell>
          <cell r="O1199">
            <v>1</v>
          </cell>
          <cell r="P1199">
            <v>1</v>
          </cell>
          <cell r="Q1199">
            <v>1</v>
          </cell>
          <cell r="R1199">
            <v>1</v>
          </cell>
          <cell r="S1199">
            <v>1</v>
          </cell>
          <cell r="T1199">
            <v>1</v>
          </cell>
          <cell r="U1199">
            <v>1</v>
          </cell>
          <cell r="V1199">
            <v>1</v>
          </cell>
          <cell r="W1199">
            <v>1</v>
          </cell>
          <cell r="X1199">
            <v>1</v>
          </cell>
          <cell r="Y1199">
            <v>1</v>
          </cell>
          <cell r="Z1199">
            <v>1</v>
          </cell>
          <cell r="AA1199">
            <v>1</v>
          </cell>
          <cell r="AB1199">
            <v>1</v>
          </cell>
          <cell r="AC1199">
            <v>1</v>
          </cell>
          <cell r="AD1199">
            <v>1</v>
          </cell>
          <cell r="AE1199">
            <v>1</v>
          </cell>
          <cell r="AF1199">
            <v>1</v>
          </cell>
          <cell r="AG1199">
            <v>1</v>
          </cell>
          <cell r="AH1199">
            <v>1</v>
          </cell>
          <cell r="AI1199">
            <v>1</v>
          </cell>
          <cell r="AJ1199">
            <v>1</v>
          </cell>
        </row>
        <row r="1200">
          <cell r="A1200" t="str">
            <v>Расходы на заработную плату</v>
          </cell>
          <cell r="B1200" t="str">
            <v>Employment costs (in foreign currency)</v>
          </cell>
        </row>
        <row r="1201">
          <cell r="A1201" t="str">
            <v>Индекс изменения цен на ИП</v>
          </cell>
          <cell r="B1201" t="str">
            <v>Price index per PI</v>
          </cell>
          <cell r="E1201" t="str">
            <v>,on_end</v>
          </cell>
          <cell r="F1201">
            <v>1</v>
          </cell>
          <cell r="G1201">
            <v>1</v>
          </cell>
          <cell r="H1201">
            <v>1</v>
          </cell>
          <cell r="I1201">
            <v>1</v>
          </cell>
          <cell r="J1201">
            <v>1</v>
          </cell>
          <cell r="K1201">
            <v>1</v>
          </cell>
          <cell r="L1201">
            <v>1</v>
          </cell>
          <cell r="M1201">
            <v>1</v>
          </cell>
          <cell r="N1201">
            <v>1</v>
          </cell>
          <cell r="O1201">
            <v>1</v>
          </cell>
          <cell r="P1201">
            <v>1</v>
          </cell>
          <cell r="Q1201">
            <v>1</v>
          </cell>
          <cell r="R1201">
            <v>1</v>
          </cell>
          <cell r="S1201">
            <v>1</v>
          </cell>
          <cell r="T1201">
            <v>1</v>
          </cell>
          <cell r="U1201">
            <v>1</v>
          </cell>
          <cell r="V1201">
            <v>1</v>
          </cell>
          <cell r="W1201">
            <v>1</v>
          </cell>
          <cell r="X1201">
            <v>1</v>
          </cell>
          <cell r="Y1201">
            <v>1</v>
          </cell>
          <cell r="Z1201">
            <v>1</v>
          </cell>
          <cell r="AA1201">
            <v>1</v>
          </cell>
          <cell r="AB1201">
            <v>1</v>
          </cell>
          <cell r="AC1201">
            <v>1</v>
          </cell>
          <cell r="AD1201">
            <v>1</v>
          </cell>
          <cell r="AE1201">
            <v>1</v>
          </cell>
          <cell r="AF1201">
            <v>1</v>
          </cell>
          <cell r="AG1201">
            <v>1</v>
          </cell>
          <cell r="AH1201">
            <v>1</v>
          </cell>
          <cell r="AI1201">
            <v>1</v>
          </cell>
          <cell r="AJ1201">
            <v>1</v>
          </cell>
        </row>
        <row r="1202">
          <cell r="A1202" t="str">
            <v>Постоянные активы в местной валюте (базовый индекс)</v>
          </cell>
          <cell r="B1202" t="str">
            <v>Fixed assets in local currency (basic index)</v>
          </cell>
        </row>
        <row r="1203">
          <cell r="A1203" t="str">
            <v>Капиталовложения в проект</v>
          </cell>
          <cell r="B1203" t="str">
            <v>Fixed assets item</v>
          </cell>
          <cell r="E1203" t="str">
            <v>,on_end</v>
          </cell>
          <cell r="F1203">
            <v>1</v>
          </cell>
          <cell r="G1203">
            <v>1</v>
          </cell>
          <cell r="H1203">
            <v>1</v>
          </cell>
          <cell r="I1203">
            <v>1</v>
          </cell>
          <cell r="J1203">
            <v>1</v>
          </cell>
          <cell r="K1203">
            <v>1</v>
          </cell>
          <cell r="L1203">
            <v>1</v>
          </cell>
          <cell r="M1203">
            <v>1</v>
          </cell>
          <cell r="N1203">
            <v>1</v>
          </cell>
          <cell r="O1203">
            <v>1</v>
          </cell>
          <cell r="P1203">
            <v>1</v>
          </cell>
          <cell r="Q1203">
            <v>1</v>
          </cell>
          <cell r="R1203">
            <v>1</v>
          </cell>
          <cell r="S1203">
            <v>1</v>
          </cell>
          <cell r="T1203">
            <v>1</v>
          </cell>
          <cell r="U1203">
            <v>1</v>
          </cell>
          <cell r="V1203">
            <v>1</v>
          </cell>
          <cell r="W1203">
            <v>1</v>
          </cell>
          <cell r="X1203">
            <v>1</v>
          </cell>
          <cell r="Y1203">
            <v>1</v>
          </cell>
          <cell r="Z1203">
            <v>1</v>
          </cell>
          <cell r="AA1203">
            <v>1</v>
          </cell>
          <cell r="AB1203">
            <v>1</v>
          </cell>
          <cell r="AC1203">
            <v>1</v>
          </cell>
          <cell r="AD1203">
            <v>1</v>
          </cell>
          <cell r="AE1203">
            <v>1</v>
          </cell>
          <cell r="AF1203">
            <v>1</v>
          </cell>
          <cell r="AG1203">
            <v>1</v>
          </cell>
          <cell r="AH1203">
            <v>1</v>
          </cell>
          <cell r="AI1203">
            <v>1</v>
          </cell>
          <cell r="AJ1203">
            <v>1</v>
          </cell>
        </row>
        <row r="1204">
          <cell r="A1204" t="str">
            <v>Постоянные активы в иностранной валюте (базовый индекс)</v>
          </cell>
          <cell r="B1204" t="str">
            <v>Fixed assets in foreign currency (basic index)</v>
          </cell>
        </row>
        <row r="1205">
          <cell r="A1205">
            <v>0</v>
          </cell>
          <cell r="B1205">
            <v>0</v>
          </cell>
          <cell r="E1205" t="str">
            <v>,on_end</v>
          </cell>
          <cell r="F1205">
            <v>1</v>
          </cell>
          <cell r="G1205">
            <v>1</v>
          </cell>
          <cell r="H1205">
            <v>1</v>
          </cell>
          <cell r="I1205">
            <v>1</v>
          </cell>
          <cell r="J1205">
            <v>1</v>
          </cell>
          <cell r="K1205">
            <v>1</v>
          </cell>
          <cell r="L1205">
            <v>1</v>
          </cell>
          <cell r="M1205">
            <v>1</v>
          </cell>
          <cell r="N1205">
            <v>1</v>
          </cell>
          <cell r="O1205">
            <v>1</v>
          </cell>
          <cell r="P1205">
            <v>1</v>
          </cell>
          <cell r="Q1205">
            <v>1</v>
          </cell>
          <cell r="R1205">
            <v>1</v>
          </cell>
          <cell r="S1205">
            <v>1</v>
          </cell>
          <cell r="T1205">
            <v>1</v>
          </cell>
          <cell r="U1205">
            <v>1</v>
          </cell>
          <cell r="V1205">
            <v>1</v>
          </cell>
          <cell r="W1205">
            <v>1</v>
          </cell>
          <cell r="X1205">
            <v>1</v>
          </cell>
          <cell r="Y1205">
            <v>1</v>
          </cell>
          <cell r="Z1205">
            <v>1</v>
          </cell>
          <cell r="AA1205">
            <v>1</v>
          </cell>
          <cell r="AB1205">
            <v>1</v>
          </cell>
          <cell r="AC1205">
            <v>1</v>
          </cell>
          <cell r="AD1205">
            <v>1</v>
          </cell>
          <cell r="AE1205">
            <v>1</v>
          </cell>
          <cell r="AF1205">
            <v>1</v>
          </cell>
          <cell r="AG1205">
            <v>1</v>
          </cell>
          <cell r="AH1205">
            <v>1</v>
          </cell>
          <cell r="AI1205">
            <v>1</v>
          </cell>
          <cell r="AJ1205">
            <v>1</v>
          </cell>
        </row>
        <row r="1210">
          <cell r="AJ1210" t="str">
            <v>30 год</v>
          </cell>
        </row>
        <row r="1211">
          <cell r="A1211" t="str">
            <v>Программа</v>
          </cell>
          <cell r="B1211" t="str">
            <v>аи3.0</v>
          </cell>
          <cell r="C1211">
            <v>360</v>
          </cell>
          <cell r="D1211">
            <v>30</v>
          </cell>
          <cell r="E1211" t="str">
            <v>Цт=максимальные</v>
          </cell>
          <cell r="F1211" t="str">
            <v>тыс.руб.</v>
          </cell>
          <cell r="G1211" t="str">
            <v>тыс.долл.</v>
          </cell>
          <cell r="H1211">
            <v>1</v>
          </cell>
          <cell r="I1211">
            <v>1</v>
          </cell>
          <cell r="J1211">
            <v>1</v>
          </cell>
          <cell r="K1211">
            <v>1</v>
          </cell>
          <cell r="L1211">
            <v>1</v>
          </cell>
          <cell r="M1211">
            <v>1</v>
          </cell>
          <cell r="N1211">
            <v>1</v>
          </cell>
          <cell r="O1211">
            <v>1</v>
          </cell>
          <cell r="P1211">
            <v>1</v>
          </cell>
          <cell r="Q1211">
            <v>1</v>
          </cell>
          <cell r="R1211">
            <v>1</v>
          </cell>
          <cell r="S1211">
            <v>1</v>
          </cell>
          <cell r="T1211">
            <v>1</v>
          </cell>
          <cell r="U1211">
            <v>1</v>
          </cell>
          <cell r="V1211">
            <v>1</v>
          </cell>
          <cell r="W1211">
            <v>1</v>
          </cell>
          <cell r="X1211">
            <v>1</v>
          </cell>
          <cell r="Y1211">
            <v>1</v>
          </cell>
          <cell r="Z1211">
            <v>1</v>
          </cell>
          <cell r="AA1211">
            <v>1</v>
          </cell>
          <cell r="AB1211">
            <v>1</v>
          </cell>
          <cell r="AC1211">
            <v>1</v>
          </cell>
          <cell r="AD1211">
            <v>1</v>
          </cell>
          <cell r="AE1211">
            <v>1</v>
          </cell>
          <cell r="AF1211">
            <v>1</v>
          </cell>
          <cell r="AG1211">
            <v>1</v>
          </cell>
          <cell r="AH1211">
            <v>1</v>
          </cell>
          <cell r="AI1211">
            <v>1</v>
          </cell>
          <cell r="AJ1211">
            <v>1</v>
          </cell>
        </row>
        <row r="1212">
          <cell r="A1212" t="str">
            <v>Обменный курс</v>
          </cell>
          <cell r="C1212" t="str">
            <v>тыс.руб./тыс.долл.</v>
          </cell>
          <cell r="F1212">
            <v>1</v>
          </cell>
          <cell r="G1212">
            <v>1</v>
          </cell>
          <cell r="H1212">
            <v>1</v>
          </cell>
          <cell r="I1212">
            <v>1</v>
          </cell>
          <cell r="J1212">
            <v>1</v>
          </cell>
          <cell r="K1212">
            <v>1</v>
          </cell>
          <cell r="L1212">
            <v>1</v>
          </cell>
          <cell r="M1212">
            <v>1</v>
          </cell>
          <cell r="N1212">
            <v>1</v>
          </cell>
          <cell r="O1212">
            <v>1</v>
          </cell>
          <cell r="P1212">
            <v>1</v>
          </cell>
          <cell r="Q1212">
            <v>1</v>
          </cell>
          <cell r="R1212">
            <v>1</v>
          </cell>
          <cell r="S1212">
            <v>1</v>
          </cell>
          <cell r="T1212">
            <v>1</v>
          </cell>
          <cell r="U1212">
            <v>1</v>
          </cell>
          <cell r="V1212">
            <v>1</v>
          </cell>
          <cell r="W1212">
            <v>1</v>
          </cell>
          <cell r="X1212">
            <v>1</v>
          </cell>
          <cell r="Y1212">
            <v>1</v>
          </cell>
          <cell r="Z1212">
            <v>1</v>
          </cell>
          <cell r="AA1212">
            <v>1</v>
          </cell>
          <cell r="AB1212">
            <v>1</v>
          </cell>
          <cell r="AC1212">
            <v>1</v>
          </cell>
          <cell r="AD1212">
            <v>1</v>
          </cell>
          <cell r="AE1212">
            <v>1</v>
          </cell>
          <cell r="AF1212">
            <v>1</v>
          </cell>
          <cell r="AG1212">
            <v>1</v>
          </cell>
          <cell r="AH1212">
            <v>1</v>
          </cell>
          <cell r="AI1212">
            <v>1</v>
          </cell>
          <cell r="AJ1212">
            <v>1</v>
          </cell>
        </row>
        <row r="1213">
          <cell r="A1213" t="str">
            <v> - выручка от реализации</v>
          </cell>
          <cell r="F1213">
            <v>0</v>
          </cell>
          <cell r="G1213">
            <v>0</v>
          </cell>
          <cell r="H1213">
            <v>168618.4120535637</v>
          </cell>
          <cell r="I1213">
            <v>196221.2241071274</v>
          </cell>
          <cell r="J1213">
            <v>230105.58350928724</v>
          </cell>
          <cell r="K1213">
            <v>263989.9429114471</v>
          </cell>
          <cell r="L1213">
            <v>297874.3023136069</v>
          </cell>
          <cell r="M1213">
            <v>324602.5439709719</v>
          </cell>
          <cell r="N1213">
            <v>351330.78562833695</v>
          </cell>
          <cell r="O1213">
            <v>378059.02728570194</v>
          </cell>
          <cell r="P1213">
            <v>404787.26894306706</v>
          </cell>
          <cell r="Q1213">
            <v>431515.51060043194</v>
          </cell>
          <cell r="R1213">
            <v>461169.8296141684</v>
          </cell>
          <cell r="S1213">
            <v>490824.14862790494</v>
          </cell>
          <cell r="T1213">
            <v>520478.4676416415</v>
          </cell>
          <cell r="U1213">
            <v>550132.786655378</v>
          </cell>
          <cell r="V1213">
            <v>550132.786655378</v>
          </cell>
          <cell r="W1213">
            <v>550132.786655378</v>
          </cell>
          <cell r="X1213">
            <v>550132.786655378</v>
          </cell>
          <cell r="Y1213">
            <v>550132.786655378</v>
          </cell>
          <cell r="Z1213">
            <v>550132.786655378</v>
          </cell>
          <cell r="AA1213">
            <v>550132.786655378</v>
          </cell>
          <cell r="AB1213">
            <v>550132.786655378</v>
          </cell>
          <cell r="AC1213">
            <v>550132.786655378</v>
          </cell>
          <cell r="AD1213">
            <v>550132.786655378</v>
          </cell>
          <cell r="AE1213">
            <v>550132.786655378</v>
          </cell>
          <cell r="AF1213">
            <v>550132.786655378</v>
          </cell>
          <cell r="AG1213">
            <v>550132.786655378</v>
          </cell>
          <cell r="AH1213">
            <v>550132.786655378</v>
          </cell>
          <cell r="AI1213">
            <v>550132.786655378</v>
          </cell>
          <cell r="AJ1213">
            <v>550132.786655378</v>
          </cell>
        </row>
        <row r="1214">
          <cell r="A1214" t="str">
            <v> - полная себестоимость</v>
          </cell>
          <cell r="F1214">
            <v>0</v>
          </cell>
          <cell r="G1214">
            <v>0</v>
          </cell>
          <cell r="H1214">
            <v>-108975.01649999998</v>
          </cell>
          <cell r="I1214">
            <v>-127514.63885999999</v>
          </cell>
          <cell r="J1214">
            <v>-146255.02794</v>
          </cell>
          <cell r="K1214">
            <v>-164641.41702000002</v>
          </cell>
          <cell r="L1214">
            <v>-183045.5061</v>
          </cell>
          <cell r="M1214">
            <v>-195911.408364</v>
          </cell>
          <cell r="N1214">
            <v>-208799.007288</v>
          </cell>
          <cell r="O1214">
            <v>-221708.95377179998</v>
          </cell>
          <cell r="P1214">
            <v>-234641.91824219396</v>
          </cell>
          <cell r="Q1214">
            <v>-247598.5912387798</v>
          </cell>
          <cell r="R1214">
            <v>-262630.5133693432</v>
          </cell>
          <cell r="S1214">
            <v>-277687.5878753435</v>
          </cell>
          <cell r="T1214">
            <v>-292770.56932804384</v>
          </cell>
          <cell r="U1214">
            <v>-307880.2349358452</v>
          </cell>
          <cell r="V1214">
            <v>-308823.8756074005</v>
          </cell>
          <cell r="W1214">
            <v>-309795.82549910253</v>
          </cell>
          <cell r="X1214">
            <v>-310796.9338875556</v>
          </cell>
          <cell r="Y1214">
            <v>-311828.0755276623</v>
          </cell>
          <cell r="Z1214">
            <v>-312890.15141697216</v>
          </cell>
          <cell r="AA1214">
            <v>-313984.0895829613</v>
          </cell>
          <cell r="AB1214">
            <v>-315110.8458939301</v>
          </cell>
          <cell r="AC1214">
            <v>-316271.40489422804</v>
          </cell>
          <cell r="AD1214">
            <v>-317466.7806645349</v>
          </cell>
          <cell r="AE1214">
            <v>-318698.01770795096</v>
          </cell>
          <cell r="AF1214">
            <v>-319966.1918626695</v>
          </cell>
          <cell r="AG1214">
            <v>-321272.4112420296</v>
          </cell>
          <cell r="AH1214">
            <v>-322617.81720277044</v>
          </cell>
          <cell r="AI1214">
            <v>-319733.9889423336</v>
          </cell>
          <cell r="AJ1214">
            <v>-321042.73022608354</v>
          </cell>
        </row>
        <row r="1215">
          <cell r="A1215" t="str">
            <v> - сырье и материалы, комплектующие</v>
          </cell>
          <cell r="F1215">
            <v>0</v>
          </cell>
          <cell r="G1215">
            <v>0</v>
          </cell>
          <cell r="H1215">
            <v>-85205.32019999999</v>
          </cell>
          <cell r="I1215">
            <v>-102098.84255999999</v>
          </cell>
          <cell r="J1215">
            <v>-119582.53163999999</v>
          </cell>
          <cell r="K1215">
            <v>-137066.22072</v>
          </cell>
          <cell r="L1215">
            <v>-154549.9098</v>
          </cell>
          <cell r="M1215">
            <v>-166692.590064</v>
          </cell>
          <cell r="N1215">
            <v>-178835.27032799998</v>
          </cell>
          <cell r="O1215">
            <v>-190977.95059199995</v>
          </cell>
          <cell r="P1215">
            <v>-203120.63085599995</v>
          </cell>
          <cell r="Q1215">
            <v>-215263.31111999997</v>
          </cell>
          <cell r="R1215">
            <v>-229456.82073599997</v>
          </cell>
          <cell r="S1215">
            <v>-243650.33035199996</v>
          </cell>
          <cell r="T1215">
            <v>-257843.839968</v>
          </cell>
          <cell r="U1215">
            <v>-272037.349584</v>
          </cell>
          <cell r="V1215">
            <v>-272037.349584</v>
          </cell>
          <cell r="W1215">
            <v>-272037.349584</v>
          </cell>
          <cell r="X1215">
            <v>-272037.349584</v>
          </cell>
          <cell r="Y1215">
            <v>-272037.349584</v>
          </cell>
          <cell r="Z1215">
            <v>-272037.349584</v>
          </cell>
          <cell r="AA1215">
            <v>-272037.349584</v>
          </cell>
          <cell r="AB1215">
            <v>-272037.349584</v>
          </cell>
          <cell r="AC1215">
            <v>-272037.349584</v>
          </cell>
          <cell r="AD1215">
            <v>-272037.349584</v>
          </cell>
          <cell r="AE1215">
            <v>-272037.349584</v>
          </cell>
          <cell r="AF1215">
            <v>-272037.349584</v>
          </cell>
          <cell r="AG1215">
            <v>-272037.349584</v>
          </cell>
          <cell r="AH1215">
            <v>-272037.349584</v>
          </cell>
          <cell r="AI1215">
            <v>-272037.349584</v>
          </cell>
          <cell r="AJ1215">
            <v>-272037.349584</v>
          </cell>
        </row>
        <row r="1216">
          <cell r="A1216" t="str">
            <v> - заработная плата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0</v>
          </cell>
          <cell r="AE1216">
            <v>0</v>
          </cell>
          <cell r="AF1216">
            <v>0</v>
          </cell>
          <cell r="AG1216">
            <v>0</v>
          </cell>
          <cell r="AH1216">
            <v>0</v>
          </cell>
          <cell r="AI1216">
            <v>0</v>
          </cell>
          <cell r="AJ1216">
            <v>0</v>
          </cell>
        </row>
        <row r="1217">
          <cell r="A1217" t="str">
            <v> - амортизация</v>
          </cell>
          <cell r="F1217">
            <v>0</v>
          </cell>
          <cell r="G1217">
            <v>0</v>
          </cell>
          <cell r="H1217">
            <v>-4388.1963</v>
          </cell>
          <cell r="I1217">
            <v>-4388.1963</v>
          </cell>
          <cell r="J1217">
            <v>-4388.1963</v>
          </cell>
          <cell r="K1217">
            <v>-4388.1963</v>
          </cell>
          <cell r="L1217">
            <v>-4388.1963</v>
          </cell>
          <cell r="M1217">
            <v>-4388.1963</v>
          </cell>
          <cell r="N1217">
            <v>-4388.1963</v>
          </cell>
          <cell r="O1217">
            <v>-4388.1963</v>
          </cell>
          <cell r="P1217">
            <v>-4388.1963</v>
          </cell>
          <cell r="Q1217">
            <v>-4388.1963</v>
          </cell>
          <cell r="R1217">
            <v>-4388.1963</v>
          </cell>
          <cell r="S1217">
            <v>-4388.1963</v>
          </cell>
          <cell r="T1217">
            <v>-4388.1963</v>
          </cell>
          <cell r="U1217">
            <v>-4388.1963</v>
          </cell>
          <cell r="V1217">
            <v>-4388.1963</v>
          </cell>
          <cell r="W1217">
            <v>-4388.1963</v>
          </cell>
          <cell r="X1217">
            <v>-4388.1963</v>
          </cell>
          <cell r="Y1217">
            <v>-4388.1963</v>
          </cell>
          <cell r="Z1217">
            <v>-4388.1963</v>
          </cell>
          <cell r="AA1217">
            <v>-4388.1963</v>
          </cell>
          <cell r="AB1217">
            <v>-4388.1963</v>
          </cell>
          <cell r="AC1217">
            <v>-4388.1963</v>
          </cell>
          <cell r="AD1217">
            <v>-4388.1963</v>
          </cell>
          <cell r="AE1217">
            <v>-4388.1963</v>
          </cell>
          <cell r="AF1217">
            <v>-4388.1963</v>
          </cell>
          <cell r="AG1217">
            <v>-4388.1963</v>
          </cell>
          <cell r="AH1217">
            <v>-4388.1963</v>
          </cell>
          <cell r="AI1217">
            <v>-118.59990000007383</v>
          </cell>
          <cell r="AJ1217">
            <v>0</v>
          </cell>
        </row>
        <row r="1218">
          <cell r="A1218" t="str">
            <v> - налоги, относимые на себестоимость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0</v>
          </cell>
          <cell r="V1218">
            <v>0</v>
          </cell>
          <cell r="W1218">
            <v>0</v>
          </cell>
          <cell r="X1218">
            <v>0</v>
          </cell>
          <cell r="Y1218">
            <v>0</v>
          </cell>
          <cell r="Z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0</v>
          </cell>
          <cell r="AE1218">
            <v>0</v>
          </cell>
          <cell r="AF1218">
            <v>0</v>
          </cell>
          <cell r="AG1218">
            <v>0</v>
          </cell>
          <cell r="AH1218">
            <v>0</v>
          </cell>
          <cell r="AI1218">
            <v>0</v>
          </cell>
          <cell r="AJ1218">
            <v>0</v>
          </cell>
        </row>
        <row r="1219">
          <cell r="A1219" t="str">
            <v> - налоги относимые на фин результаты</v>
          </cell>
          <cell r="F1219">
            <v>0</v>
          </cell>
          <cell r="G1219">
            <v>0</v>
          </cell>
          <cell r="H1219">
            <v>-5009.741633431425</v>
          </cell>
          <cell r="I1219">
            <v>-5513.7179697908205</v>
          </cell>
          <cell r="J1219">
            <v>-5990.233357069654</v>
          </cell>
          <cell r="K1219">
            <v>-6472.065334738985</v>
          </cell>
          <cell r="L1219">
            <v>-6953.897312408315</v>
          </cell>
          <cell r="M1219">
            <v>-7321.682285671728</v>
          </cell>
          <cell r="N1219">
            <v>-7682.762020701144</v>
          </cell>
          <cell r="O1219">
            <v>-8043.841755730562</v>
          </cell>
          <cell r="P1219">
            <v>-8404.92149075998</v>
          </cell>
          <cell r="Q1219">
            <v>-8766.001225789394</v>
          </cell>
          <cell r="R1219">
            <v>-9173.695356371358</v>
          </cell>
          <cell r="S1219">
            <v>-9584.112722160302</v>
          </cell>
          <cell r="T1219">
            <v>-9994.530087949244</v>
          </cell>
          <cell r="U1219">
            <v>-10404.947453738185</v>
          </cell>
          <cell r="V1219">
            <v>-10343.866781029632</v>
          </cell>
          <cell r="W1219">
            <v>-10256.102855029632</v>
          </cell>
          <cell r="X1219">
            <v>-10168.338929029633</v>
          </cell>
          <cell r="Y1219">
            <v>-10080.575003029633</v>
          </cell>
          <cell r="Z1219">
            <v>-9992.811077029633</v>
          </cell>
          <cell r="AA1219">
            <v>-9905.047151029632</v>
          </cell>
          <cell r="AB1219">
            <v>-9817.283225029632</v>
          </cell>
          <cell r="AC1219">
            <v>-9729.519299029633</v>
          </cell>
          <cell r="AD1219">
            <v>-9641.755373029633</v>
          </cell>
          <cell r="AE1219">
            <v>-9553.991447029633</v>
          </cell>
          <cell r="AF1219">
            <v>-9466.227521029632</v>
          </cell>
          <cell r="AG1219">
            <v>-9378.463595029632</v>
          </cell>
          <cell r="AH1219">
            <v>-9290.699669029633</v>
          </cell>
          <cell r="AI1219">
            <v>-9245.631707029632</v>
          </cell>
          <cell r="AJ1219">
            <v>-9244.445708029632</v>
          </cell>
        </row>
        <row r="1220">
          <cell r="A1220" t="str">
            <v> - налог на прибыль</v>
          </cell>
          <cell r="F1220">
            <v>0</v>
          </cell>
          <cell r="G1220">
            <v>0</v>
          </cell>
          <cell r="H1220">
            <v>-13112.076940831746</v>
          </cell>
          <cell r="I1220">
            <v>-15166.28814656078</v>
          </cell>
          <cell r="J1220">
            <v>-18686.477330932223</v>
          </cell>
          <cell r="K1220">
            <v>-22290.350533609937</v>
          </cell>
          <cell r="L1220">
            <v>-25889.97573628766</v>
          </cell>
          <cell r="M1220">
            <v>-29128.668797112037</v>
          </cell>
          <cell r="N1220">
            <v>-32363.763916712596</v>
          </cell>
          <cell r="O1220">
            <v>-35593.495621961134</v>
          </cell>
          <cell r="P1220">
            <v>-38817.70301042715</v>
          </cell>
          <cell r="Q1220">
            <v>-42036.22035260706</v>
          </cell>
          <cell r="R1220">
            <v>-45447.749013228924</v>
          </cell>
          <cell r="S1220">
            <v>-48852.58752729627</v>
          </cell>
          <cell r="T1220">
            <v>-52251.20837415562</v>
          </cell>
          <cell r="U1220">
            <v>-55643.425023790696</v>
          </cell>
          <cell r="V1220">
            <v>-55431.61062406748</v>
          </cell>
          <cell r="W1220">
            <v>-55219.40599229898</v>
          </cell>
          <cell r="X1220">
            <v>-55000.20332131024</v>
          </cell>
          <cell r="Y1220">
            <v>-54773.792669924645</v>
          </cell>
          <cell r="Z1220">
            <v>-54539.95779873028</v>
          </cell>
          <cell r="AA1220">
            <v>-54298.475981132884</v>
          </cell>
          <cell r="AB1220">
            <v>-54049.11780874037</v>
          </cell>
          <cell r="AC1220">
            <v>-53791.64699090886</v>
          </cell>
          <cell r="AD1220">
            <v>-53525.82014827522</v>
          </cell>
          <cell r="AE1220">
            <v>-53251.386600095364</v>
          </cell>
          <cell r="AF1220">
            <v>-52968.08814520292</v>
          </cell>
          <cell r="AG1220">
            <v>-52675.6588363965</v>
          </cell>
          <cell r="AH1220">
            <v>-52373.82474805869</v>
          </cell>
          <cell r="AI1220">
            <v>-53076.75984144353</v>
          </cell>
          <cell r="AJ1220">
            <v>-52762.94657310354</v>
          </cell>
        </row>
        <row r="1221">
          <cell r="A1221" t="str">
            <v> - НДС в бюджет из бюджета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0</v>
          </cell>
          <cell r="V1221">
            <v>0</v>
          </cell>
          <cell r="W1221">
            <v>0</v>
          </cell>
          <cell r="X1221">
            <v>0</v>
          </cell>
          <cell r="Y1221">
            <v>0</v>
          </cell>
          <cell r="Z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0</v>
          </cell>
          <cell r="AE1221">
            <v>0</v>
          </cell>
          <cell r="AF1221">
            <v>0</v>
          </cell>
          <cell r="AG1221">
            <v>0</v>
          </cell>
          <cell r="AH1221">
            <v>0</v>
          </cell>
          <cell r="AI1221">
            <v>0</v>
          </cell>
          <cell r="AJ1221">
            <v>0</v>
          </cell>
        </row>
        <row r="1222">
          <cell r="A1222" t="str">
            <v> - импортная и экспортная пошлины, подоходный налог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  <cell r="AE1222">
            <v>0</v>
          </cell>
          <cell r="AF1222">
            <v>0</v>
          </cell>
          <cell r="AG1222">
            <v>0</v>
          </cell>
          <cell r="AH1222">
            <v>0</v>
          </cell>
          <cell r="AI1222">
            <v>0</v>
          </cell>
          <cell r="AJ1222">
            <v>0</v>
          </cell>
        </row>
        <row r="1223">
          <cell r="A1223" t="str">
            <v> - прочие доходы-расходы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  <cell r="AE1223">
            <v>0</v>
          </cell>
          <cell r="AF1223">
            <v>0</v>
          </cell>
          <cell r="AG1223">
            <v>0</v>
          </cell>
          <cell r="AH1223">
            <v>0</v>
          </cell>
          <cell r="AI1223">
            <v>0</v>
          </cell>
          <cell r="AJ1223">
            <v>0</v>
          </cell>
        </row>
        <row r="1224">
          <cell r="A1224" t="str">
            <v> - прочие доходы-расходы из чистой прибыли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  <cell r="AE1224">
            <v>0</v>
          </cell>
          <cell r="AF1224">
            <v>0</v>
          </cell>
          <cell r="AG1224">
            <v>0</v>
          </cell>
          <cell r="AH1224">
            <v>0</v>
          </cell>
          <cell r="AI1224">
            <v>0</v>
          </cell>
          <cell r="AJ1224">
            <v>0</v>
          </cell>
        </row>
        <row r="1225">
          <cell r="A1225" t="str">
            <v> - изменение постоянных активов (Приобретение(-) и продажа)</v>
          </cell>
          <cell r="F1225">
            <v>0</v>
          </cell>
          <cell r="G1225">
            <v>-118599.9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  <cell r="X1225">
            <v>0</v>
          </cell>
          <cell r="Y1225">
            <v>0</v>
          </cell>
          <cell r="Z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0</v>
          </cell>
          <cell r="AE1225">
            <v>0</v>
          </cell>
          <cell r="AF1225">
            <v>0</v>
          </cell>
          <cell r="AG1225">
            <v>0</v>
          </cell>
          <cell r="AH1225">
            <v>0</v>
          </cell>
          <cell r="AI1225">
            <v>0</v>
          </cell>
          <cell r="AJ1225">
            <v>0</v>
          </cell>
        </row>
        <row r="1226">
          <cell r="A1226" t="str">
            <v> - остаточная стоимость ПА и незавершенные кап вложения</v>
          </cell>
          <cell r="F1226">
            <v>0</v>
          </cell>
          <cell r="G1226">
            <v>118599.9</v>
          </cell>
          <cell r="H1226">
            <v>114211.7037</v>
          </cell>
          <cell r="I1226">
            <v>109823.5074</v>
          </cell>
          <cell r="J1226">
            <v>105435.31109999999</v>
          </cell>
          <cell r="K1226">
            <v>101047.1148</v>
          </cell>
          <cell r="L1226">
            <v>96658.9185</v>
          </cell>
          <cell r="M1226">
            <v>92270.72219999999</v>
          </cell>
          <cell r="N1226">
            <v>87882.5259</v>
          </cell>
          <cell r="O1226">
            <v>83494.3296</v>
          </cell>
          <cell r="P1226">
            <v>79106.1333</v>
          </cell>
          <cell r="Q1226">
            <v>74717.937</v>
          </cell>
          <cell r="R1226">
            <v>70329.74070000001</v>
          </cell>
          <cell r="S1226">
            <v>65941.54440000001</v>
          </cell>
          <cell r="T1226">
            <v>61553.34810000002</v>
          </cell>
          <cell r="U1226">
            <v>57165.15180000002</v>
          </cell>
          <cell r="V1226">
            <v>52776.955500000025</v>
          </cell>
          <cell r="W1226">
            <v>48388.75920000003</v>
          </cell>
          <cell r="X1226">
            <v>44000.56290000003</v>
          </cell>
          <cell r="Y1226">
            <v>39612.36660000004</v>
          </cell>
          <cell r="Z1226">
            <v>35224.17030000004</v>
          </cell>
          <cell r="AA1226">
            <v>30835.974000000046</v>
          </cell>
          <cell r="AB1226">
            <v>26447.77770000005</v>
          </cell>
          <cell r="AC1226">
            <v>22059.581400000054</v>
          </cell>
          <cell r="AD1226">
            <v>17671.385100000058</v>
          </cell>
          <cell r="AE1226">
            <v>13283.188800000062</v>
          </cell>
          <cell r="AF1226">
            <v>8894.992500000066</v>
          </cell>
          <cell r="AG1226">
            <v>4506.79620000007</v>
          </cell>
          <cell r="AH1226">
            <v>118.59990000007383</v>
          </cell>
          <cell r="AI1226">
            <v>0</v>
          </cell>
          <cell r="AJ1226">
            <v>0</v>
          </cell>
        </row>
        <row r="1227">
          <cell r="A1227" t="str">
            <v> - текущие нормируемые активы</v>
          </cell>
          <cell r="F1227">
            <v>0</v>
          </cell>
          <cell r="G1227">
            <v>22744.4025255</v>
          </cell>
          <cell r="H1227">
            <v>45088.66737219697</v>
          </cell>
          <cell r="I1227">
            <v>55812.551932493945</v>
          </cell>
          <cell r="J1227">
            <v>67914.4478542406</v>
          </cell>
          <cell r="K1227">
            <v>80810.65385838726</v>
          </cell>
          <cell r="L1227">
            <v>94453.37324489391</v>
          </cell>
          <cell r="M1227">
            <v>107498.417833921</v>
          </cell>
          <cell r="N1227">
            <v>120567.55884456809</v>
          </cell>
          <cell r="O1227">
            <v>133664.88284274616</v>
          </cell>
          <cell r="P1227">
            <v>146794.59899134358</v>
          </cell>
          <cell r="Q1227">
            <v>159994.6535425153</v>
          </cell>
          <cell r="R1227">
            <v>173746.67472584714</v>
          </cell>
          <cell r="S1227">
            <v>187811.42222757702</v>
          </cell>
          <cell r="T1227">
            <v>202193.6334976185</v>
          </cell>
          <cell r="U1227">
            <v>216665.57225734246</v>
          </cell>
          <cell r="V1227">
            <v>228838.87574697743</v>
          </cell>
          <cell r="W1227">
            <v>241189.91395709987</v>
          </cell>
          <cell r="X1227">
            <v>253724.01892932443</v>
          </cell>
          <cell r="Y1227">
            <v>266446.68266651407</v>
          </cell>
          <cell r="Z1227">
            <v>279363.5619316179</v>
          </cell>
          <cell r="AA1227">
            <v>292480.48319047317</v>
          </cell>
          <cell r="AB1227">
            <v>305803.44770289253</v>
          </cell>
          <cell r="AC1227">
            <v>319338.6367664829</v>
          </cell>
          <cell r="AD1227">
            <v>333092.4171177793</v>
          </cell>
          <cell r="AE1227">
            <v>347071.34649541305</v>
          </cell>
          <cell r="AF1227">
            <v>361282.17937017424</v>
          </cell>
          <cell r="AG1227">
            <v>375731.8728469766</v>
          </cell>
          <cell r="AH1227">
            <v>390427.5927438815</v>
          </cell>
          <cell r="AI1227">
            <v>405376.7198534919</v>
          </cell>
          <cell r="AJ1227">
            <v>420586.8563921889</v>
          </cell>
        </row>
        <row r="1228">
          <cell r="A1228" t="str">
            <v> - текущие пассивы</v>
          </cell>
          <cell r="F1228">
            <v>0</v>
          </cell>
          <cell r="G1228">
            <v>0</v>
          </cell>
          <cell r="H1228">
            <v>2054.454306715942</v>
          </cell>
          <cell r="I1228">
            <v>2339.724234410041</v>
          </cell>
          <cell r="J1228">
            <v>2796.9568566136254</v>
          </cell>
          <cell r="K1228">
            <v>3265.3145549043065</v>
          </cell>
          <cell r="L1228">
            <v>3733.141253194988</v>
          </cell>
          <cell r="M1228">
            <v>4150.5407053842555</v>
          </cell>
          <cell r="N1228">
            <v>4566.652260141296</v>
          </cell>
          <cell r="O1228">
            <v>4982.093388104335</v>
          </cell>
          <cell r="P1228">
            <v>5396.843976469557</v>
          </cell>
          <cell r="Q1228">
            <v>5810.883309049017</v>
          </cell>
          <cell r="R1228">
            <v>6251.218259182325</v>
          </cell>
          <cell r="S1228">
            <v>6691.057345397192</v>
          </cell>
          <cell r="T1228">
            <v>7130.119223211056</v>
          </cell>
          <cell r="U1228">
            <v>7568.380576371888</v>
          </cell>
          <cell r="V1228">
            <v>7534.268692317916</v>
          </cell>
          <cell r="W1228">
            <v>7496.7726225968545</v>
          </cell>
          <cell r="X1228">
            <v>7458.401797973261</v>
          </cell>
          <cell r="Y1228">
            <v>7419.129975800062</v>
          </cell>
          <cell r="Z1228">
            <v>7378.930126150765</v>
          </cell>
          <cell r="AA1228">
            <v>7337.774408201092</v>
          </cell>
          <cell r="AB1228">
            <v>7295.634145902028</v>
          </cell>
          <cell r="AC1228">
            <v>7252.479802923089</v>
          </cell>
          <cell r="AD1228">
            <v>7208.280956843885</v>
          </cell>
          <cell r="AE1228">
            <v>7163.006272571402</v>
          </cell>
          <cell r="AF1228">
            <v>7116.623474959846</v>
          </cell>
          <cell r="AG1228">
            <v>7069.099320609043</v>
          </cell>
          <cell r="AH1228">
            <v>7020.399568816818</v>
          </cell>
          <cell r="AI1228">
            <v>7102.632960239923</v>
          </cell>
          <cell r="AJ1228">
            <v>7063.258051822424</v>
          </cell>
        </row>
        <row r="1229">
          <cell r="A1229" t="str">
            <v> - изменение собств.капитала</v>
          </cell>
          <cell r="D1229">
            <v>0</v>
          </cell>
          <cell r="F1229">
            <v>539186.756392189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0</v>
          </cell>
          <cell r="AE1229">
            <v>0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</row>
        <row r="1230">
          <cell r="A1230" t="str">
            <v> - привлечение кредитов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A1231" t="str">
            <v> - возврат кредитов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0</v>
          </cell>
          <cell r="V1231">
            <v>0</v>
          </cell>
          <cell r="W1231">
            <v>0</v>
          </cell>
          <cell r="X1231">
            <v>0</v>
          </cell>
          <cell r="Y1231">
            <v>0</v>
          </cell>
          <cell r="Z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0</v>
          </cell>
          <cell r="AE1231">
            <v>0</v>
          </cell>
          <cell r="AF1231">
            <v>0</v>
          </cell>
          <cell r="AG1231">
            <v>0</v>
          </cell>
          <cell r="AH1231">
            <v>0</v>
          </cell>
          <cell r="AI1231">
            <v>0</v>
          </cell>
          <cell r="AJ1231">
            <v>0</v>
          </cell>
        </row>
        <row r="1232">
          <cell r="A1232" t="str">
            <v> - % по кредитам вкл. в себестоимость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A1233" t="str">
            <v> - % по кредитам не вкл. в себестоимость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A1234" t="str">
            <v> - задолженность по кредитам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A1235" t="str">
            <v> - отчисления на социальные нужды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A1236" t="str">
            <v> - резервная строка</v>
          </cell>
        </row>
        <row r="1237">
          <cell r="A1237" t="str">
            <v> - резервная строка</v>
          </cell>
        </row>
        <row r="1238">
          <cell r="A1238" t="str">
            <v> - резервная строка</v>
          </cell>
        </row>
        <row r="1239">
          <cell r="A1239" t="str">
            <v> - резервная строка</v>
          </cell>
        </row>
        <row r="1240">
          <cell r="A1240" t="str">
            <v> - резервная строка</v>
          </cell>
        </row>
        <row r="1241">
          <cell r="A1241" t="str">
            <v> - резервная строка</v>
          </cell>
        </row>
        <row r="1245">
          <cell r="F1245">
            <v>1</v>
          </cell>
          <cell r="G1245">
            <v>2</v>
          </cell>
          <cell r="H1245">
            <v>3</v>
          </cell>
          <cell r="I1245">
            <v>4</v>
          </cell>
          <cell r="J1245">
            <v>5</v>
          </cell>
          <cell r="K1245">
            <v>6</v>
          </cell>
          <cell r="L1245">
            <v>7</v>
          </cell>
          <cell r="M1245">
            <v>8</v>
          </cell>
          <cell r="N1245">
            <v>9</v>
          </cell>
          <cell r="O1245">
            <v>10</v>
          </cell>
          <cell r="P1245">
            <v>11</v>
          </cell>
          <cell r="Q1245">
            <v>12</v>
          </cell>
          <cell r="R1245">
            <v>13</v>
          </cell>
          <cell r="S1245">
            <v>14</v>
          </cell>
          <cell r="T1245">
            <v>15</v>
          </cell>
          <cell r="U1245">
            <v>16</v>
          </cell>
          <cell r="V1245">
            <v>17</v>
          </cell>
          <cell r="W1245">
            <v>18</v>
          </cell>
          <cell r="X1245">
            <v>19</v>
          </cell>
          <cell r="Y1245">
            <v>20</v>
          </cell>
          <cell r="Z1245">
            <v>21</v>
          </cell>
          <cell r="AA1245">
            <v>22</v>
          </cell>
          <cell r="AB1245">
            <v>23</v>
          </cell>
          <cell r="AC1245">
            <v>24</v>
          </cell>
          <cell r="AD1245">
            <v>25</v>
          </cell>
          <cell r="AE1245">
            <v>26</v>
          </cell>
          <cell r="AF1245">
            <v>27</v>
          </cell>
          <cell r="AG1245">
            <v>28</v>
          </cell>
          <cell r="AH1245">
            <v>29</v>
          </cell>
          <cell r="AI1245">
            <v>30</v>
          </cell>
          <cell r="AJ1245">
            <v>31</v>
          </cell>
          <cell r="AK1245">
            <v>32</v>
          </cell>
        </row>
        <row r="1246">
          <cell r="AJ1246" t="str">
            <v>30 год</v>
          </cell>
        </row>
        <row r="1247">
          <cell r="F1247">
            <v>1</v>
          </cell>
        </row>
        <row r="1248">
          <cell r="F1248" t="str">
            <v>тыс.руб.</v>
          </cell>
        </row>
        <row r="1249">
          <cell r="F1249">
            <v>1</v>
          </cell>
          <cell r="G1249">
            <v>1</v>
          </cell>
          <cell r="H1249">
            <v>1</v>
          </cell>
          <cell r="I1249">
            <v>1</v>
          </cell>
          <cell r="J1249">
            <v>1</v>
          </cell>
          <cell r="K1249">
            <v>1</v>
          </cell>
          <cell r="L1249">
            <v>1</v>
          </cell>
          <cell r="M1249">
            <v>1</v>
          </cell>
          <cell r="N1249">
            <v>1</v>
          </cell>
          <cell r="O1249">
            <v>1</v>
          </cell>
          <cell r="P1249">
            <v>1</v>
          </cell>
          <cell r="Q1249">
            <v>1</v>
          </cell>
          <cell r="R1249">
            <v>1</v>
          </cell>
          <cell r="S1249">
            <v>1</v>
          </cell>
          <cell r="T1249">
            <v>1</v>
          </cell>
          <cell r="U1249">
            <v>1</v>
          </cell>
          <cell r="V1249">
            <v>1</v>
          </cell>
          <cell r="W1249">
            <v>1</v>
          </cell>
          <cell r="X1249">
            <v>1</v>
          </cell>
          <cell r="Y1249">
            <v>1</v>
          </cell>
          <cell r="Z1249">
            <v>1</v>
          </cell>
          <cell r="AA1249">
            <v>1</v>
          </cell>
          <cell r="AB1249">
            <v>1</v>
          </cell>
          <cell r="AC1249">
            <v>1</v>
          </cell>
          <cell r="AD1249">
            <v>1</v>
          </cell>
          <cell r="AE1249">
            <v>1</v>
          </cell>
          <cell r="AF1249">
            <v>1</v>
          </cell>
          <cell r="AG1249">
            <v>1</v>
          </cell>
          <cell r="AH1249">
            <v>1</v>
          </cell>
          <cell r="AI1249">
            <v>1</v>
          </cell>
          <cell r="AJ1249">
            <v>1</v>
          </cell>
        </row>
        <row r="1250">
          <cell r="F1250">
            <v>1</v>
          </cell>
          <cell r="G1250">
            <v>1</v>
          </cell>
          <cell r="H1250">
            <v>1</v>
          </cell>
          <cell r="I1250">
            <v>1</v>
          </cell>
          <cell r="J1250">
            <v>1</v>
          </cell>
          <cell r="K1250">
            <v>1</v>
          </cell>
          <cell r="L1250">
            <v>1</v>
          </cell>
          <cell r="M1250">
            <v>1</v>
          </cell>
          <cell r="N1250">
            <v>1</v>
          </cell>
          <cell r="O1250">
            <v>1</v>
          </cell>
          <cell r="P1250">
            <v>1</v>
          </cell>
          <cell r="Q1250">
            <v>1</v>
          </cell>
          <cell r="R1250">
            <v>1</v>
          </cell>
          <cell r="S1250">
            <v>1</v>
          </cell>
          <cell r="T1250">
            <v>1</v>
          </cell>
          <cell r="U1250">
            <v>1</v>
          </cell>
          <cell r="V1250">
            <v>1</v>
          </cell>
          <cell r="W1250">
            <v>1</v>
          </cell>
          <cell r="X1250">
            <v>1</v>
          </cell>
          <cell r="Y1250">
            <v>1</v>
          </cell>
          <cell r="Z1250">
            <v>1</v>
          </cell>
          <cell r="AA1250">
            <v>1</v>
          </cell>
          <cell r="AB1250">
            <v>1</v>
          </cell>
          <cell r="AC1250">
            <v>1</v>
          </cell>
          <cell r="AD1250">
            <v>1</v>
          </cell>
          <cell r="AE1250">
            <v>1</v>
          </cell>
          <cell r="AF1250">
            <v>1</v>
          </cell>
          <cell r="AG1250">
            <v>1</v>
          </cell>
          <cell r="AH1250">
            <v>1</v>
          </cell>
          <cell r="AI1250">
            <v>1</v>
          </cell>
          <cell r="AJ1250">
            <v>1</v>
          </cell>
        </row>
        <row r="1251">
          <cell r="F1251">
            <v>539186.756392189</v>
          </cell>
          <cell r="G1251">
            <v>397842.45386668894</v>
          </cell>
          <cell r="H1251">
            <v>423462.4166060084</v>
          </cell>
          <cell r="I1251">
            <v>465438.57740418136</v>
          </cell>
          <cell r="J1251">
            <v>517355.9552859237</v>
          </cell>
          <cell r="K1251">
            <v>579902.4133031658</v>
          </cell>
          <cell r="L1251">
            <v>653100.6400798608</v>
          </cell>
          <cell r="M1251">
            <v>737101.975767211</v>
          </cell>
          <cell r="N1251">
            <v>831322.3950142442</v>
          </cell>
          <cell r="O1251">
            <v>935741.4445802395</v>
          </cell>
          <cell r="P1251">
            <v>1050337.4015196932</v>
          </cell>
          <cell r="Q1251">
            <v>1175054.2803843566</v>
          </cell>
          <cell r="R1251">
            <v>1310048.662326383</v>
          </cell>
          <cell r="S1251">
            <v>1455511.810713973</v>
          </cell>
          <cell r="T1251">
            <v>1611419.017473238</v>
          </cell>
          <cell r="U1251">
            <v>1777977.7156086788</v>
          </cell>
          <cell r="V1251">
            <v>1945691.9301778702</v>
          </cell>
          <cell r="W1251">
            <v>2112553.0445069736</v>
          </cell>
          <cell r="X1251">
            <v>2278536.075527608</v>
          </cell>
          <cell r="Y1251">
            <v>2443612.6797230067</v>
          </cell>
          <cell r="Z1251">
            <v>2607753.6632708996</v>
          </cell>
          <cell r="AA1251">
            <v>2770928.956534349</v>
          </cell>
          <cell r="AB1251">
            <v>2933107.5877873083</v>
          </cell>
          <cell r="AC1251">
            <v>3094257.6561519504</v>
          </cell>
          <cell r="AD1251">
            <v>3254346.303724113</v>
          </cell>
          <cell r="AE1251">
            <v>3413339.6868625088</v>
          </cell>
          <cell r="AF1251">
            <v>3571202.946616612</v>
          </cell>
          <cell r="AG1251">
            <v>3727900.178267381</v>
          </cell>
          <cell r="AH1251">
            <v>3883394.399954203</v>
          </cell>
          <cell r="AI1251">
            <v>4036722.5123005873</v>
          </cell>
          <cell r="AJ1251">
            <v>4188555.665001634</v>
          </cell>
        </row>
        <row r="1252">
          <cell r="F1252">
            <v>539186.756392189</v>
          </cell>
          <cell r="G1252">
            <v>397842.45386668894</v>
          </cell>
          <cell r="H1252">
            <v>423462.4166060084</v>
          </cell>
          <cell r="I1252">
            <v>465438.57740418136</v>
          </cell>
          <cell r="J1252">
            <v>517355.9552859237</v>
          </cell>
          <cell r="K1252">
            <v>579902.4133031658</v>
          </cell>
          <cell r="L1252">
            <v>653100.6400798608</v>
          </cell>
          <cell r="M1252">
            <v>737101.975767211</v>
          </cell>
          <cell r="N1252">
            <v>831322.3950142442</v>
          </cell>
          <cell r="O1252">
            <v>935741.4445802395</v>
          </cell>
          <cell r="P1252">
            <v>1050337.4015196932</v>
          </cell>
          <cell r="Q1252">
            <v>1175054.2803843566</v>
          </cell>
          <cell r="R1252">
            <v>1310048.662326383</v>
          </cell>
          <cell r="S1252">
            <v>1455511.810713973</v>
          </cell>
          <cell r="T1252">
            <v>1611419.017473238</v>
          </cell>
          <cell r="U1252">
            <v>1777977.7156086788</v>
          </cell>
          <cell r="V1252">
            <v>1945691.9301778702</v>
          </cell>
          <cell r="W1252">
            <v>2112553.0445069736</v>
          </cell>
          <cell r="X1252">
            <v>2278536.075527608</v>
          </cell>
          <cell r="Y1252">
            <v>2443612.6797230067</v>
          </cell>
          <cell r="Z1252">
            <v>2607753.6632708996</v>
          </cell>
          <cell r="AA1252">
            <v>2770928.956534349</v>
          </cell>
          <cell r="AB1252">
            <v>2933107.5877873083</v>
          </cell>
          <cell r="AC1252">
            <v>3094257.6561519504</v>
          </cell>
          <cell r="AD1252">
            <v>3254346.303724113</v>
          </cell>
          <cell r="AE1252">
            <v>3413339.6868625088</v>
          </cell>
          <cell r="AF1252">
            <v>3571202.946616612</v>
          </cell>
          <cell r="AG1252">
            <v>3727900.178267381</v>
          </cell>
          <cell r="AH1252">
            <v>3883394.399954203</v>
          </cell>
          <cell r="AI1252">
            <v>4036722.5123005873</v>
          </cell>
          <cell r="AJ1252">
            <v>4188555.665001634</v>
          </cell>
        </row>
        <row r="1258">
          <cell r="AJ1258">
            <v>126262.28437033127</v>
          </cell>
        </row>
        <row r="1259">
          <cell r="AJ1259">
            <v>272037.349584</v>
          </cell>
        </row>
        <row r="1260">
          <cell r="AJ1260">
            <v>0</v>
          </cell>
        </row>
        <row r="1261">
          <cell r="AJ1261">
            <v>550132.786655378</v>
          </cell>
        </row>
        <row r="1262">
          <cell r="AJ1262">
            <v>398299.6339543313</v>
          </cell>
        </row>
        <row r="1267">
          <cell r="AJ1267">
            <v>272037.349584</v>
          </cell>
        </row>
        <row r="1268">
          <cell r="AJ1268">
            <v>0</v>
          </cell>
        </row>
        <row r="1269">
          <cell r="AJ1269">
            <v>0</v>
          </cell>
        </row>
        <row r="1270">
          <cell r="AJ1270">
            <v>126262.28437033127</v>
          </cell>
        </row>
        <row r="1271">
          <cell r="AJ1271">
            <v>550132.786655378</v>
          </cell>
        </row>
        <row r="1272">
          <cell r="AJ1272">
            <v>398299.6339543313</v>
          </cell>
        </row>
        <row r="1275">
          <cell r="AJ1275">
            <v>420586.8563921889</v>
          </cell>
        </row>
        <row r="1276">
          <cell r="AJ1276">
            <v>-7063.258051822424</v>
          </cell>
        </row>
        <row r="1277">
          <cell r="AJ1277">
            <v>15249.511447114557</v>
          </cell>
        </row>
        <row r="1280">
          <cell r="AJ1280">
            <v>0</v>
          </cell>
        </row>
        <row r="1281">
          <cell r="AJ1281">
            <v>0</v>
          </cell>
        </row>
        <row r="1282">
          <cell r="AJ1282">
            <v>0</v>
          </cell>
        </row>
        <row r="1283">
          <cell r="AJ1283">
            <v>0</v>
          </cell>
        </row>
        <row r="1286">
          <cell r="AJ1286">
            <v>229090.0564292944</v>
          </cell>
        </row>
        <row r="1287">
          <cell r="AJ1287">
            <v>167082.66414816122</v>
          </cell>
        </row>
        <row r="1288">
          <cell r="AJ1288">
            <v>4062892.50694981</v>
          </cell>
        </row>
        <row r="1291">
          <cell r="AJ1291">
            <v>550093.4117469605</v>
          </cell>
        </row>
        <row r="1292">
          <cell r="AJ1292">
            <v>-398260.25904591376</v>
          </cell>
        </row>
        <row r="1293">
          <cell r="AJ1293">
            <v>4188555.665001634</v>
          </cell>
        </row>
        <row r="1296">
          <cell r="AJ1296">
            <v>652.5519084220059</v>
          </cell>
        </row>
        <row r="1297">
          <cell r="AJ1297">
            <v>600.1789677251854</v>
          </cell>
        </row>
        <row r="1298">
          <cell r="AJ1298">
            <v>593.6884220660021</v>
          </cell>
        </row>
        <row r="1301">
          <cell r="AJ1301">
            <v>550132.786655378</v>
          </cell>
        </row>
        <row r="1302">
          <cell r="AJ1302">
            <v>-398299.6339543313</v>
          </cell>
        </row>
        <row r="1304">
          <cell r="AJ1304">
            <v>3649368.9086094447</v>
          </cell>
        </row>
        <row r="1305">
          <cell r="AJ1305">
            <v>372422.09933404427</v>
          </cell>
        </row>
        <row r="1308">
          <cell r="AJ1308">
            <v>550132.786655378</v>
          </cell>
        </row>
        <row r="1309">
          <cell r="AJ1309">
            <v>-398299.6339543313</v>
          </cell>
        </row>
        <row r="1311">
          <cell r="AJ1311">
            <v>3649368.9086094447</v>
          </cell>
        </row>
        <row r="1312">
          <cell r="AJ1312">
            <v>372422.09933404427</v>
          </cell>
        </row>
        <row r="1315">
          <cell r="AJ1315">
            <v>19522.290232048308</v>
          </cell>
        </row>
        <row r="1316">
          <cell r="AJ1316">
            <v>42485.10204908486</v>
          </cell>
        </row>
        <row r="1317">
          <cell r="AJ1317">
            <v>0</v>
          </cell>
        </row>
        <row r="1318">
          <cell r="AJ1318">
            <v>0</v>
          </cell>
        </row>
        <row r="1319">
          <cell r="AJ1319">
            <v>474716.91396992526</v>
          </cell>
        </row>
        <row r="1320">
          <cell r="AJ1320">
            <v>1538449.5957519587</v>
          </cell>
        </row>
        <row r="1327">
          <cell r="C1327">
            <v>1</v>
          </cell>
        </row>
        <row r="1328">
          <cell r="C1328">
            <v>1</v>
          </cell>
        </row>
        <row r="1329">
          <cell r="C1329">
            <v>1</v>
          </cell>
        </row>
        <row r="1330">
          <cell r="C1330">
            <v>1</v>
          </cell>
        </row>
        <row r="1338">
          <cell r="C1338">
            <v>397842.45386668894</v>
          </cell>
        </row>
        <row r="1339">
          <cell r="C1339">
            <v>4062892.50694981</v>
          </cell>
        </row>
        <row r="1340">
          <cell r="C1340">
            <v>22744.4025255</v>
          </cell>
        </row>
        <row r="1341">
          <cell r="C1341">
            <v>413523.59834036644</v>
          </cell>
        </row>
        <row r="1344">
          <cell r="A1344">
            <v>1</v>
          </cell>
          <cell r="B1344">
            <v>378667.5687742861</v>
          </cell>
          <cell r="C1344">
            <v>413523.59834036644</v>
          </cell>
        </row>
        <row r="1345">
          <cell r="A1345" t="e">
            <v>#REF!</v>
          </cell>
          <cell r="B1345" t="e">
            <v>#REF!</v>
          </cell>
          <cell r="C1345">
            <v>64541.14066873938</v>
          </cell>
        </row>
        <row r="1346">
          <cell r="A1346" t="e">
            <v>#REF!</v>
          </cell>
          <cell r="B1346" t="e">
            <v>#REF!</v>
          </cell>
          <cell r="C1346">
            <v>64541.14066873938</v>
          </cell>
        </row>
        <row r="1347">
          <cell r="A1347" t="e">
            <v>#REF!</v>
          </cell>
          <cell r="B1347" t="e">
            <v>#REF!</v>
          </cell>
          <cell r="C1347">
            <v>64541.14066873938</v>
          </cell>
        </row>
        <row r="1348">
          <cell r="A1348" t="e">
            <v>#REF!</v>
          </cell>
          <cell r="B1348" t="e">
            <v>#REF!</v>
          </cell>
          <cell r="C1348">
            <v>64541.14066873938</v>
          </cell>
        </row>
        <row r="1349">
          <cell r="A1349" t="e">
            <v>#REF!</v>
          </cell>
          <cell r="B1349" t="e">
            <v>#REF!</v>
          </cell>
          <cell r="C1349">
            <v>64541.14066873938</v>
          </cell>
        </row>
        <row r="1350">
          <cell r="A1350" t="e">
            <v>#REF!</v>
          </cell>
          <cell r="B1350" t="e">
            <v>#REF!</v>
          </cell>
          <cell r="C1350">
            <v>64541.14066873938</v>
          </cell>
        </row>
        <row r="1351">
          <cell r="A1351" t="e">
            <v>#REF!</v>
          </cell>
          <cell r="B1351" t="e">
            <v>#REF!</v>
          </cell>
          <cell r="C1351">
            <v>64541.14066873938</v>
          </cell>
        </row>
        <row r="1355">
          <cell r="A1355">
            <v>413523.59834036644</v>
          </cell>
          <cell r="B1355" t="e">
            <v>#REF!</v>
          </cell>
          <cell r="C1355" t="e">
            <v>#REF!</v>
          </cell>
          <cell r="D1355" t="e">
            <v>#REF!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</row>
        <row r="1356">
          <cell r="A1356" t="e">
            <v>#REF!</v>
          </cell>
          <cell r="B1356">
            <v>64541.14066873938</v>
          </cell>
          <cell r="C1356">
            <v>64541.14066873938</v>
          </cell>
          <cell r="D1356">
            <v>64541.14066873938</v>
          </cell>
          <cell r="E1356">
            <v>64541.14066873938</v>
          </cell>
          <cell r="F1356">
            <v>64541.14066873938</v>
          </cell>
          <cell r="G1356">
            <v>64541.14066873938</v>
          </cell>
          <cell r="H1356">
            <v>64541.14066873938</v>
          </cell>
        </row>
        <row r="1357">
          <cell r="A1357" t="e">
            <v>#REF!</v>
          </cell>
          <cell r="B1357">
            <v>64541.14066873938</v>
          </cell>
          <cell r="C1357">
            <v>64541.14066873938</v>
          </cell>
          <cell r="D1357">
            <v>64541.14066873938</v>
          </cell>
          <cell r="E1357">
            <v>64541.14066873938</v>
          </cell>
          <cell r="F1357">
            <v>64541.14066873938</v>
          </cell>
          <cell r="G1357">
            <v>64541.14066873938</v>
          </cell>
          <cell r="H1357">
            <v>64541.14066873938</v>
          </cell>
        </row>
        <row r="1358">
          <cell r="A1358" t="e">
            <v>#REF!</v>
          </cell>
          <cell r="B1358">
            <v>64541.14066873938</v>
          </cell>
          <cell r="C1358">
            <v>64541.14066873938</v>
          </cell>
          <cell r="D1358">
            <v>64541.14066873938</v>
          </cell>
          <cell r="E1358">
            <v>64541.14066873938</v>
          </cell>
          <cell r="F1358">
            <v>64541.14066873938</v>
          </cell>
          <cell r="G1358">
            <v>64541.14066873938</v>
          </cell>
          <cell r="H1358">
            <v>64541.14066873938</v>
          </cell>
        </row>
        <row r="1359">
          <cell r="A1359" t="e">
            <v>#REF!</v>
          </cell>
          <cell r="B1359">
            <v>64541.14066873938</v>
          </cell>
          <cell r="C1359">
            <v>64541.14066873938</v>
          </cell>
          <cell r="D1359">
            <v>64541.14066873938</v>
          </cell>
          <cell r="E1359">
            <v>64541.14066873938</v>
          </cell>
          <cell r="F1359">
            <v>64541.14066873938</v>
          </cell>
          <cell r="G1359">
            <v>64541.14066873938</v>
          </cell>
          <cell r="H1359">
            <v>64541.14066873938</v>
          </cell>
        </row>
        <row r="1360">
          <cell r="A1360" t="e">
            <v>#REF!</v>
          </cell>
          <cell r="B1360">
            <v>64541.14066873938</v>
          </cell>
          <cell r="C1360">
            <v>64541.14066873938</v>
          </cell>
          <cell r="D1360">
            <v>64541.14066873938</v>
          </cell>
          <cell r="E1360">
            <v>64541.14066873938</v>
          </cell>
          <cell r="F1360">
            <v>64541.14066873938</v>
          </cell>
          <cell r="G1360">
            <v>64541.14066873938</v>
          </cell>
          <cell r="H1360">
            <v>64541.14066873938</v>
          </cell>
        </row>
        <row r="1588">
          <cell r="AJ1588">
            <v>1</v>
          </cell>
        </row>
        <row r="1606">
          <cell r="AJ1606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4"/>
      <sheetName val="Списки"/>
    </sheetNames>
    <sheetDataSet>
      <sheetData sheetId="1">
        <row r="38">
          <cell r="K38" t="str">
            <v>ВЛЭП 110-220 кВ (ВН)</v>
          </cell>
        </row>
        <row r="39">
          <cell r="K39" t="str">
            <v>ВЛЭП 35 кВ (СН1)</v>
          </cell>
        </row>
        <row r="40">
          <cell r="K40" t="str">
            <v>ВЛЭП 1-20 кВ (СН2)</v>
          </cell>
        </row>
        <row r="41">
          <cell r="K41" t="str">
            <v>ВЛЭП 0,4 кВ (НН)</v>
          </cell>
        </row>
        <row r="42">
          <cell r="K42" t="str">
            <v>КЛЭП 110 кВ (ВН)</v>
          </cell>
        </row>
        <row r="43">
          <cell r="K43" t="str">
            <v>КЛЭП 20-35 кВ (СН1)</v>
          </cell>
        </row>
        <row r="44">
          <cell r="K44" t="str">
            <v>КЛЭП 3-10 кВ (СН2)</v>
          </cell>
        </row>
        <row r="45">
          <cell r="K45" t="str">
            <v>КЛЭП до 1 кВ (НН)</v>
          </cell>
        </row>
        <row r="46">
          <cell r="K46" t="str">
            <v>РП, ТП 110 кВ (ВН)</v>
          </cell>
        </row>
        <row r="47">
          <cell r="K47" t="str">
            <v>РП, ТП 35 кВ (СН1)</v>
          </cell>
        </row>
        <row r="48">
          <cell r="K48" t="str">
            <v>РП, ТП 6/10-0,4 (СН2)</v>
          </cell>
        </row>
        <row r="49">
          <cell r="K49" t="str">
            <v>Автоматизация, связь</v>
          </cell>
        </row>
        <row r="50">
          <cell r="K50" t="str">
            <v>АИИС КУЭ ОРЭ</v>
          </cell>
        </row>
        <row r="51">
          <cell r="K51" t="str">
            <v>АИИС КУЭ РРЭ</v>
          </cell>
        </row>
        <row r="52">
          <cell r="K52" t="str">
            <v>Прочие средства учета и контроля электроэнергии</v>
          </cell>
        </row>
        <row r="53">
          <cell r="K53" t="str">
            <v>установка приборов учета э/э, т/э,х и г воды на хоз. нужды</v>
          </cell>
        </row>
        <row r="54">
          <cell r="K54" t="str">
            <v>ПИР</v>
          </cell>
        </row>
        <row r="55">
          <cell r="K55" t="str">
            <v>Здания</v>
          </cell>
        </row>
        <row r="56">
          <cell r="K56" t="str">
            <v>Сооружения (кроме электрических линий)</v>
          </cell>
        </row>
        <row r="57">
          <cell r="K57" t="str">
            <v>Земельные участки</v>
          </cell>
        </row>
        <row r="58">
          <cell r="K58" t="str">
            <v>Машины и оборудование (кроме подстанций)</v>
          </cell>
        </row>
        <row r="59">
          <cell r="K59" t="str">
            <v>Транспортные средства</v>
          </cell>
        </row>
        <row r="60">
          <cell r="K60" t="str">
            <v>Инвентарь</v>
          </cell>
        </row>
        <row r="61">
          <cell r="K61" t="str">
            <v>Прочие основные средства</v>
          </cell>
        </row>
        <row r="62">
          <cell r="K62" t="str">
            <v>мероприятия по повышению антитеррористической и противодиверсионной защищенности объектов электроэнергетики</v>
          </cell>
        </row>
        <row r="63">
          <cell r="K63" t="str">
            <v>Оборудование, не входящее в сметы строек</v>
          </cell>
        </row>
        <row r="64">
          <cell r="K64" t="str">
            <v>Объекты непроизводственной сферы</v>
          </cell>
        </row>
        <row r="65">
          <cell r="K65" t="str">
            <v>патенты</v>
          </cell>
        </row>
        <row r="66">
          <cell r="K66" t="str">
            <v>авторские права</v>
          </cell>
        </row>
        <row r="67">
          <cell r="K67" t="str">
            <v>товарные знаки и знаки обслуживания</v>
          </cell>
        </row>
        <row r="68">
          <cell r="K68" t="str">
            <v>прочие объекты интеллект собственности</v>
          </cell>
        </row>
        <row r="69">
          <cell r="K69" t="str">
            <v>Деловая репутация</v>
          </cell>
        </row>
        <row r="70">
          <cell r="K70" t="str">
            <v>Организационные расходы</v>
          </cell>
        </row>
        <row r="71">
          <cell r="K71" t="str">
            <v>Прочие объекты нематериальынх активов</v>
          </cell>
        </row>
        <row r="72">
          <cell r="K72" t="str">
            <v>Прочие долгосрочные финансовые вложения</v>
          </cell>
        </row>
        <row r="73">
          <cell r="K73" t="str">
            <v>Инвестиции в ценные бумаги</v>
          </cell>
        </row>
        <row r="74">
          <cell r="K74" t="str">
            <v>акции </v>
          </cell>
        </row>
        <row r="75">
          <cell r="K75" t="str">
            <v>облигации</v>
          </cell>
        </row>
        <row r="76">
          <cell r="K76" t="str">
            <v>векселя</v>
          </cell>
        </row>
        <row r="77">
          <cell r="K77" t="str">
            <v>прочие ценные бумаги</v>
          </cell>
        </row>
        <row r="78">
          <cell r="K78" t="str">
            <v>Вклады в уставный капитал других организаций</v>
          </cell>
        </row>
        <row r="79">
          <cell r="K79" t="str">
            <v>Вклады по договорам совместной деятельности</v>
          </cell>
        </row>
        <row r="80">
          <cell r="K80" t="str">
            <v>Займы, выданные другим организациям</v>
          </cell>
        </row>
        <row r="81">
          <cell r="K81" t="str">
            <v>займы предприятиям Группы</v>
          </cell>
        </row>
        <row r="82">
          <cell r="K82" t="str">
            <v>внешние займы</v>
          </cell>
        </row>
        <row r="83">
          <cell r="K83" t="str">
            <v>Прочие долгосрочные финансовые вложения</v>
          </cell>
        </row>
        <row r="84">
          <cell r="K84" t="str">
            <v>Приобретение основных средств</v>
          </cell>
        </row>
        <row r="85">
          <cell r="K85" t="str">
            <v>НИОКР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анализ "/>
      <sheetName val="Приложение 26"/>
      <sheetName val="Лист1"/>
      <sheetName val="Лист3"/>
    </sheetNames>
    <sheetDataSet>
      <sheetData sheetId="3">
        <row r="1">
          <cell r="A1" t="str">
            <v>Тамбовский </v>
          </cell>
        </row>
        <row r="2">
          <cell r="A2" t="str">
            <v>Рассказовский</v>
          </cell>
        </row>
        <row r="3">
          <cell r="A3" t="str">
            <v>Моршанский</v>
          </cell>
        </row>
        <row r="4">
          <cell r="A4" t="str">
            <v>Сосновский </v>
          </cell>
        </row>
        <row r="5">
          <cell r="A5" t="str">
            <v>Пичаевский</v>
          </cell>
        </row>
        <row r="6">
          <cell r="A6" t="str">
            <v>Жердевский </v>
          </cell>
        </row>
        <row r="7">
          <cell r="A7" t="str">
            <v>Уваровский </v>
          </cell>
        </row>
        <row r="8">
          <cell r="A8" t="str">
            <v>Ржаксинский</v>
          </cell>
        </row>
        <row r="9">
          <cell r="A9" t="str">
            <v>Мордовский</v>
          </cell>
        </row>
        <row r="10">
          <cell r="A10" t="str">
            <v>Мичуринский</v>
          </cell>
        </row>
        <row r="11">
          <cell r="A11" t="str">
            <v>Северный</v>
          </cell>
        </row>
        <row r="12">
          <cell r="A12" t="str">
            <v>Петровский</v>
          </cell>
        </row>
        <row r="13">
          <cell r="A13" t="str">
            <v>Кирсановский</v>
          </cell>
        </row>
        <row r="14">
          <cell r="A14" t="str">
            <v>Гавриловский</v>
          </cell>
        </row>
        <row r="15">
          <cell r="A15" t="str">
            <v>Инжавинский</v>
          </cell>
        </row>
        <row r="16">
          <cell r="A16" t="str">
            <v>Токаревский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Тех.присоединение"/>
      <sheetName val="ОС в рамках ТП"/>
      <sheetName val="ОС в рамках Инв.Прогр. (2)"/>
      <sheetName val="ОС в рамках прогр. энергоэф (2)"/>
      <sheetName val="ОС в рамках текущ.деят-ти"/>
      <sheetName val="доп.услуги (2)"/>
    </sheetNames>
    <sheetDataSet>
      <sheetData sheetId="0">
        <row r="1">
          <cell r="H1">
            <v>582993.4745216917</v>
          </cell>
          <cell r="O1">
            <v>-547793.4745216917</v>
          </cell>
        </row>
        <row r="2">
          <cell r="H2">
            <v>556588.0489402625</v>
          </cell>
          <cell r="O2">
            <v>-148347.93894026248</v>
          </cell>
        </row>
        <row r="25">
          <cell r="H25">
            <v>31755.385723287978</v>
          </cell>
          <cell r="O25">
            <v>-31205.385723287978</v>
          </cell>
        </row>
        <row r="26">
          <cell r="H26">
            <v>31755.385723287978</v>
          </cell>
          <cell r="O26">
            <v>-31205.385723287978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до 15 кВт "/>
      <sheetName val="до 150 кВт_2019"/>
      <sheetName val="20"/>
      <sheetName val="08"/>
    </sheetNames>
    <sheetDataSet>
      <sheetData sheetId="0">
        <row r="35">
          <cell r="H35">
            <v>78.3048</v>
          </cell>
        </row>
        <row r="38">
          <cell r="H38">
            <v>5169.9062</v>
          </cell>
        </row>
      </sheetData>
      <sheetData sheetId="1">
        <row r="27">
          <cell r="H27">
            <v>6179.178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_2019 год"/>
      <sheetName val="расчет СТС_СЕММ"/>
      <sheetName val="Сравнение СТС_СЕММ"/>
      <sheetName val="20"/>
      <sheetName val="08"/>
      <sheetName val="УНЦ_2021+анализ_№10"/>
      <sheetName val="УНЦ 2020_№10"/>
    </sheetNames>
    <sheetDataSet>
      <sheetData sheetId="0">
        <row r="47">
          <cell r="F47">
            <v>0.03</v>
          </cell>
          <cell r="H47">
            <v>50323.05000000001</v>
          </cell>
        </row>
        <row r="55">
          <cell r="F55">
            <v>0.4</v>
          </cell>
          <cell r="H55">
            <v>99764.40999999999</v>
          </cell>
        </row>
        <row r="56">
          <cell r="F56">
            <v>1.406</v>
          </cell>
          <cell r="H56">
            <v>1575133.4100000001</v>
          </cell>
        </row>
        <row r="57">
          <cell r="F57">
            <v>0.018</v>
          </cell>
          <cell r="H57">
            <v>43231.86</v>
          </cell>
        </row>
        <row r="58">
          <cell r="F58">
            <v>0.735</v>
          </cell>
          <cell r="H58">
            <v>861081.56</v>
          </cell>
        </row>
        <row r="60">
          <cell r="F60">
            <v>0.185</v>
          </cell>
          <cell r="H60">
            <v>203260.28</v>
          </cell>
        </row>
        <row r="61">
          <cell r="F61">
            <v>0.18</v>
          </cell>
          <cell r="H61">
            <v>202134.52</v>
          </cell>
        </row>
        <row r="62">
          <cell r="F62">
            <v>0.008</v>
          </cell>
          <cell r="H62">
            <v>54523.26</v>
          </cell>
        </row>
        <row r="63">
          <cell r="F63">
            <v>0.241</v>
          </cell>
          <cell r="H63">
            <v>369638.49999999994</v>
          </cell>
        </row>
        <row r="64">
          <cell r="F64">
            <v>0.03</v>
          </cell>
          <cell r="H64">
            <v>69687.17</v>
          </cell>
        </row>
        <row r="65">
          <cell r="F65">
            <v>0.184</v>
          </cell>
          <cell r="H65">
            <v>203945.31</v>
          </cell>
        </row>
        <row r="66">
          <cell r="F66">
            <v>0.2</v>
          </cell>
          <cell r="H66">
            <v>144333.41000000003</v>
          </cell>
        </row>
        <row r="68">
          <cell r="F68">
            <v>0.07</v>
          </cell>
          <cell r="H68">
            <v>60997.27</v>
          </cell>
        </row>
        <row r="69">
          <cell r="F69">
            <v>0.145</v>
          </cell>
          <cell r="H69">
            <v>179266.43000000002</v>
          </cell>
        </row>
        <row r="70">
          <cell r="F70">
            <v>0.035</v>
          </cell>
          <cell r="H70">
            <v>57107.56</v>
          </cell>
        </row>
        <row r="71">
          <cell r="F71">
            <v>0.023</v>
          </cell>
          <cell r="H71">
            <v>44729.39</v>
          </cell>
        </row>
        <row r="73">
          <cell r="F73">
            <v>0.03</v>
          </cell>
          <cell r="H73">
            <v>60763.57000000001</v>
          </cell>
        </row>
        <row r="74">
          <cell r="F74">
            <v>0.45</v>
          </cell>
          <cell r="H74">
            <v>404269.27</v>
          </cell>
        </row>
        <row r="76">
          <cell r="F76">
            <v>1.418</v>
          </cell>
          <cell r="H76">
            <v>1074351.14</v>
          </cell>
        </row>
        <row r="77">
          <cell r="F77">
            <v>0.402</v>
          </cell>
          <cell r="H77">
            <v>597884.81</v>
          </cell>
        </row>
        <row r="78">
          <cell r="F78">
            <v>0.412</v>
          </cell>
          <cell r="H78">
            <v>524703.49</v>
          </cell>
        </row>
        <row r="79">
          <cell r="F79">
            <v>0.32</v>
          </cell>
          <cell r="H79">
            <v>310253.1</v>
          </cell>
        </row>
        <row r="80">
          <cell r="F80">
            <v>0.305</v>
          </cell>
          <cell r="H80">
            <v>242550.95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_2018 год"/>
      <sheetName val="Приложение 1_2019 год"/>
      <sheetName val="Приложение 1_2020 год"/>
      <sheetName val="расчет СТС_СЕММ"/>
      <sheetName val="Сравнение СТС_СЕММ"/>
      <sheetName val="20"/>
      <sheetName val="08"/>
      <sheetName val="20_2018"/>
      <sheetName val="08_2018"/>
      <sheetName val="УНЦ_2021+анализ_№10"/>
      <sheetName val="УНЦ 2020_№10"/>
    </sheetNames>
    <sheetDataSet>
      <sheetData sheetId="0">
        <row r="7">
          <cell r="F7">
            <v>0.023</v>
          </cell>
          <cell r="G7">
            <v>15</v>
          </cell>
          <cell r="H7">
            <v>4400.727597945314</v>
          </cell>
        </row>
        <row r="8">
          <cell r="F8">
            <v>0.13</v>
          </cell>
          <cell r="G8">
            <v>15</v>
          </cell>
          <cell r="H8">
            <v>13001.276708956113</v>
          </cell>
        </row>
        <row r="9">
          <cell r="F9">
            <v>0.025</v>
          </cell>
          <cell r="G9">
            <v>15</v>
          </cell>
          <cell r="H9">
            <v>2177.61</v>
          </cell>
        </row>
        <row r="10">
          <cell r="F10">
            <v>0.05</v>
          </cell>
          <cell r="G10">
            <v>15</v>
          </cell>
          <cell r="H10">
            <v>2954.1299999999997</v>
          </cell>
        </row>
        <row r="11">
          <cell r="F11">
            <v>0.2</v>
          </cell>
          <cell r="G11">
            <v>15</v>
          </cell>
          <cell r="H11">
            <v>10383.24</v>
          </cell>
        </row>
        <row r="12">
          <cell r="F12">
            <v>0.04</v>
          </cell>
          <cell r="G12">
            <v>40</v>
          </cell>
          <cell r="H12">
            <v>5623.018960047499</v>
          </cell>
        </row>
        <row r="13">
          <cell r="F13">
            <v>0.23</v>
          </cell>
          <cell r="G13">
            <v>0.2</v>
          </cell>
          <cell r="H13">
            <v>9462.328043693802</v>
          </cell>
        </row>
        <row r="14">
          <cell r="F14">
            <v>0.24</v>
          </cell>
          <cell r="G14">
            <v>1.5</v>
          </cell>
          <cell r="H14">
            <v>10508.710000000001</v>
          </cell>
        </row>
        <row r="15">
          <cell r="F15">
            <v>0.09</v>
          </cell>
          <cell r="G15">
            <v>50</v>
          </cell>
          <cell r="H15">
            <v>22218.440000000002</v>
          </cell>
        </row>
        <row r="16">
          <cell r="F16">
            <v>0.08</v>
          </cell>
          <cell r="G16">
            <v>0.2</v>
          </cell>
          <cell r="H16">
            <v>5731.599999999999</v>
          </cell>
        </row>
        <row r="17">
          <cell r="F17">
            <v>0.25</v>
          </cell>
          <cell r="G17">
            <v>0.2</v>
          </cell>
          <cell r="H17">
            <v>13881.13</v>
          </cell>
        </row>
        <row r="18">
          <cell r="F18">
            <v>0.16</v>
          </cell>
          <cell r="G18">
            <v>0.2</v>
          </cell>
          <cell r="H18">
            <v>8288.539999999999</v>
          </cell>
        </row>
        <row r="19">
          <cell r="F19">
            <v>0.15</v>
          </cell>
          <cell r="G19">
            <v>0.5</v>
          </cell>
          <cell r="H19">
            <v>8765.26</v>
          </cell>
        </row>
        <row r="20">
          <cell r="F20">
            <v>0.25</v>
          </cell>
          <cell r="G20">
            <v>0.2</v>
          </cell>
          <cell r="H20">
            <v>11291.5</v>
          </cell>
        </row>
        <row r="21">
          <cell r="F21">
            <v>0.1</v>
          </cell>
          <cell r="G21">
            <v>0.2</v>
          </cell>
          <cell r="H21">
            <v>4772.89</v>
          </cell>
        </row>
        <row r="22">
          <cell r="F22">
            <v>0.1</v>
          </cell>
          <cell r="G22">
            <v>0.2</v>
          </cell>
          <cell r="H22">
            <v>7282.700000000001</v>
          </cell>
        </row>
        <row r="23">
          <cell r="F23">
            <v>0.18</v>
          </cell>
          <cell r="G23">
            <v>0.2</v>
          </cell>
          <cell r="H23">
            <v>9751.9</v>
          </cell>
        </row>
        <row r="24">
          <cell r="F24">
            <v>0.065</v>
          </cell>
          <cell r="G24">
            <v>0.5</v>
          </cell>
          <cell r="H24">
            <v>3705.78</v>
          </cell>
        </row>
        <row r="25">
          <cell r="F25">
            <v>0.1</v>
          </cell>
          <cell r="G25">
            <v>0.5</v>
          </cell>
          <cell r="H25">
            <v>6989.539999999999</v>
          </cell>
        </row>
        <row r="26">
          <cell r="F26">
            <v>0.26</v>
          </cell>
          <cell r="G26">
            <v>0.2</v>
          </cell>
          <cell r="H26">
            <v>10725.02</v>
          </cell>
        </row>
        <row r="27">
          <cell r="F27">
            <v>0.05</v>
          </cell>
          <cell r="G27">
            <v>0.5</v>
          </cell>
          <cell r="H27">
            <v>2360.4599999999996</v>
          </cell>
        </row>
        <row r="28">
          <cell r="F28">
            <v>0.07</v>
          </cell>
          <cell r="G28">
            <v>0.5</v>
          </cell>
          <cell r="H28">
            <v>8588.77</v>
          </cell>
        </row>
        <row r="29">
          <cell r="F29">
            <v>0.04</v>
          </cell>
          <cell r="G29">
            <v>15</v>
          </cell>
          <cell r="H29">
            <v>18312.61</v>
          </cell>
        </row>
        <row r="30">
          <cell r="F30">
            <v>0.04</v>
          </cell>
          <cell r="G30">
            <v>15</v>
          </cell>
          <cell r="H30">
            <v>15462.869999999999</v>
          </cell>
        </row>
        <row r="31">
          <cell r="F31">
            <v>0.04</v>
          </cell>
          <cell r="G31">
            <v>15</v>
          </cell>
          <cell r="H31">
            <v>15766.349999999999</v>
          </cell>
        </row>
        <row r="32">
          <cell r="F32">
            <v>0.01</v>
          </cell>
          <cell r="G32">
            <v>15</v>
          </cell>
          <cell r="H32">
            <v>64173.61</v>
          </cell>
        </row>
        <row r="33">
          <cell r="F33">
            <v>0.08</v>
          </cell>
          <cell r="G33">
            <v>15</v>
          </cell>
          <cell r="H33">
            <v>96069.83</v>
          </cell>
        </row>
        <row r="34">
          <cell r="F34">
            <v>0.045</v>
          </cell>
          <cell r="G34">
            <v>0.2</v>
          </cell>
          <cell r="H34">
            <v>32553.539999999997</v>
          </cell>
        </row>
        <row r="35">
          <cell r="F35">
            <v>0.155</v>
          </cell>
          <cell r="G35">
            <v>1.5</v>
          </cell>
          <cell r="H35">
            <v>59706.48</v>
          </cell>
        </row>
        <row r="36">
          <cell r="F36">
            <v>0.09</v>
          </cell>
          <cell r="G36">
            <v>15</v>
          </cell>
          <cell r="H36">
            <v>55088.22</v>
          </cell>
        </row>
        <row r="37">
          <cell r="F37">
            <v>0.1</v>
          </cell>
          <cell r="G37">
            <v>0.2</v>
          </cell>
          <cell r="H37">
            <v>7454.05</v>
          </cell>
        </row>
        <row r="39">
          <cell r="F39">
            <v>0.14</v>
          </cell>
          <cell r="G39">
            <v>15</v>
          </cell>
          <cell r="H39">
            <v>34601.9654062515</v>
          </cell>
        </row>
        <row r="40">
          <cell r="F40">
            <v>0.05</v>
          </cell>
          <cell r="G40">
            <v>100</v>
          </cell>
          <cell r="H40">
            <v>20158.192543424488</v>
          </cell>
        </row>
        <row r="41">
          <cell r="F41">
            <v>0.018</v>
          </cell>
          <cell r="G41">
            <v>70</v>
          </cell>
          <cell r="H41">
            <v>24713.27</v>
          </cell>
        </row>
        <row r="42">
          <cell r="F42">
            <v>0.055</v>
          </cell>
          <cell r="G42">
            <v>150</v>
          </cell>
          <cell r="H42">
            <v>16513.1</v>
          </cell>
        </row>
        <row r="43">
          <cell r="F43">
            <v>0.16</v>
          </cell>
          <cell r="G43">
            <v>150</v>
          </cell>
          <cell r="H43">
            <v>55572.6</v>
          </cell>
        </row>
        <row r="44">
          <cell r="F44">
            <v>0.11</v>
          </cell>
          <cell r="G44">
            <v>50</v>
          </cell>
          <cell r="H44">
            <v>33881.77</v>
          </cell>
        </row>
        <row r="45">
          <cell r="F45">
            <v>0.025</v>
          </cell>
          <cell r="G45">
            <v>56</v>
          </cell>
          <cell r="H45">
            <v>7874.199999999999</v>
          </cell>
        </row>
        <row r="46">
          <cell r="F46">
            <v>0.015</v>
          </cell>
          <cell r="G46">
            <v>30</v>
          </cell>
          <cell r="H46">
            <v>5064.83</v>
          </cell>
        </row>
        <row r="47">
          <cell r="F47">
            <v>0.14</v>
          </cell>
          <cell r="G47">
            <v>15</v>
          </cell>
          <cell r="H47">
            <v>40352.01</v>
          </cell>
        </row>
        <row r="48">
          <cell r="F48">
            <v>0.165</v>
          </cell>
          <cell r="G48">
            <v>15</v>
          </cell>
          <cell r="H48">
            <v>97342.04000000001</v>
          </cell>
        </row>
        <row r="49">
          <cell r="F49">
            <v>0.105</v>
          </cell>
          <cell r="G49">
            <v>15</v>
          </cell>
          <cell r="H49">
            <v>56373.92999999999</v>
          </cell>
        </row>
        <row r="50">
          <cell r="F50">
            <v>0.63</v>
          </cell>
          <cell r="G50">
            <v>10</v>
          </cell>
          <cell r="H50">
            <v>291393.3</v>
          </cell>
        </row>
        <row r="52">
          <cell r="F52">
            <v>1.52</v>
          </cell>
          <cell r="G52">
            <v>15</v>
          </cell>
          <cell r="H52">
            <v>556865.47</v>
          </cell>
        </row>
        <row r="55">
          <cell r="F55">
            <v>0.021</v>
          </cell>
          <cell r="G55">
            <v>150</v>
          </cell>
          <cell r="H55">
            <v>35067.56</v>
          </cell>
        </row>
        <row r="56">
          <cell r="F56">
            <v>0.201</v>
          </cell>
          <cell r="G56">
            <v>15</v>
          </cell>
          <cell r="H56">
            <v>176682.08</v>
          </cell>
        </row>
        <row r="57">
          <cell r="F57">
            <v>0.054</v>
          </cell>
          <cell r="G57">
            <v>107</v>
          </cell>
          <cell r="H57">
            <v>53648.98</v>
          </cell>
        </row>
        <row r="58">
          <cell r="F58">
            <v>0.44</v>
          </cell>
          <cell r="G58">
            <v>218</v>
          </cell>
          <cell r="H58">
            <v>384393.16</v>
          </cell>
        </row>
        <row r="59">
          <cell r="F59">
            <v>0.2</v>
          </cell>
          <cell r="G59">
            <v>150</v>
          </cell>
          <cell r="H59">
            <v>258048.85</v>
          </cell>
        </row>
        <row r="61">
          <cell r="F61">
            <v>0.215</v>
          </cell>
          <cell r="G61">
            <v>88.4</v>
          </cell>
          <cell r="H61">
            <v>163573.33</v>
          </cell>
        </row>
        <row r="62">
          <cell r="F62">
            <v>0.015</v>
          </cell>
          <cell r="G62">
            <v>150</v>
          </cell>
          <cell r="H62">
            <v>28022.649999999994</v>
          </cell>
        </row>
        <row r="63">
          <cell r="F63">
            <v>0.035</v>
          </cell>
          <cell r="G63">
            <v>150</v>
          </cell>
          <cell r="H63">
            <v>41417.86</v>
          </cell>
        </row>
        <row r="64">
          <cell r="F64">
            <v>0.059</v>
          </cell>
          <cell r="G64">
            <v>69.7</v>
          </cell>
          <cell r="H64">
            <v>87555.55</v>
          </cell>
        </row>
        <row r="65">
          <cell r="F65">
            <v>0.15</v>
          </cell>
          <cell r="G65">
            <v>92.7</v>
          </cell>
          <cell r="H65">
            <v>130464.23999999999</v>
          </cell>
        </row>
        <row r="66">
          <cell r="F66">
            <v>0.353</v>
          </cell>
          <cell r="G66">
            <v>61</v>
          </cell>
          <cell r="H66">
            <v>220863.93</v>
          </cell>
        </row>
        <row r="67">
          <cell r="F67">
            <v>0.57</v>
          </cell>
          <cell r="G67">
            <v>195</v>
          </cell>
          <cell r="H67">
            <v>444662.80999999994</v>
          </cell>
        </row>
        <row r="68">
          <cell r="F68">
            <v>0.119</v>
          </cell>
          <cell r="G68">
            <v>145.6</v>
          </cell>
          <cell r="H68">
            <v>87263.01</v>
          </cell>
        </row>
        <row r="70">
          <cell r="F70">
            <v>0.07</v>
          </cell>
          <cell r="G70">
            <v>15</v>
          </cell>
          <cell r="H70">
            <v>46817.96</v>
          </cell>
        </row>
        <row r="71">
          <cell r="F71">
            <v>0.1</v>
          </cell>
          <cell r="G71">
            <v>88.4</v>
          </cell>
          <cell r="H71">
            <v>92318.22</v>
          </cell>
        </row>
        <row r="72">
          <cell r="F72">
            <v>0.265</v>
          </cell>
          <cell r="G72">
            <v>70</v>
          </cell>
          <cell r="H72">
            <v>217504.37</v>
          </cell>
        </row>
        <row r="73">
          <cell r="F73">
            <v>0.96</v>
          </cell>
          <cell r="G73">
            <v>60</v>
          </cell>
          <cell r="H73">
            <v>418541.29000000004</v>
          </cell>
        </row>
        <row r="74">
          <cell r="F74">
            <v>0.185</v>
          </cell>
          <cell r="G74">
            <v>80</v>
          </cell>
          <cell r="H74">
            <v>117069.69</v>
          </cell>
        </row>
        <row r="76">
          <cell r="F76">
            <v>1.024</v>
          </cell>
          <cell r="G76">
            <v>60</v>
          </cell>
          <cell r="H76">
            <v>1287243.5599999998</v>
          </cell>
        </row>
        <row r="77">
          <cell r="F77">
            <v>0.475</v>
          </cell>
          <cell r="G77">
            <v>300</v>
          </cell>
          <cell r="H77">
            <v>448336.12</v>
          </cell>
        </row>
        <row r="79">
          <cell r="F79">
            <v>1.071</v>
          </cell>
          <cell r="G79">
            <v>60</v>
          </cell>
          <cell r="H79">
            <v>994080.28</v>
          </cell>
        </row>
        <row r="80">
          <cell r="F80">
            <v>0.98</v>
          </cell>
          <cell r="G80">
            <v>218</v>
          </cell>
          <cell r="H80">
            <v>47582.44</v>
          </cell>
        </row>
        <row r="81">
          <cell r="F81">
            <v>0.993</v>
          </cell>
          <cell r="G81">
            <v>500</v>
          </cell>
          <cell r="H81">
            <v>639388.78</v>
          </cell>
        </row>
        <row r="91">
          <cell r="G91">
            <v>15</v>
          </cell>
          <cell r="H91">
            <v>44389.729999999996</v>
          </cell>
        </row>
        <row r="92">
          <cell r="G92">
            <v>150</v>
          </cell>
          <cell r="H92">
            <v>313321.42000000004</v>
          </cell>
        </row>
        <row r="93">
          <cell r="G93">
            <v>630</v>
          </cell>
          <cell r="H93">
            <v>907039.0900000001</v>
          </cell>
        </row>
        <row r="94">
          <cell r="G94">
            <v>149</v>
          </cell>
          <cell r="H94">
            <v>462257.12999999995</v>
          </cell>
        </row>
        <row r="95">
          <cell r="G95">
            <v>150</v>
          </cell>
          <cell r="H95">
            <v>210799.2</v>
          </cell>
        </row>
        <row r="96">
          <cell r="G96">
            <v>150</v>
          </cell>
          <cell r="H96">
            <v>523301.21</v>
          </cell>
        </row>
        <row r="97">
          <cell r="G97">
            <v>150</v>
          </cell>
          <cell r="H97">
            <v>258187.2</v>
          </cell>
        </row>
        <row r="98">
          <cell r="G98">
            <v>150</v>
          </cell>
          <cell r="H98">
            <v>421417.70999999996</v>
          </cell>
        </row>
        <row r="99">
          <cell r="G99">
            <v>150</v>
          </cell>
          <cell r="H99">
            <v>207667.47</v>
          </cell>
        </row>
        <row r="100">
          <cell r="G100">
            <v>150</v>
          </cell>
          <cell r="H100">
            <v>225684.63</v>
          </cell>
        </row>
        <row r="101">
          <cell r="G101">
            <v>15</v>
          </cell>
          <cell r="H101">
            <v>276791.77999999997</v>
          </cell>
        </row>
        <row r="102">
          <cell r="G102">
            <v>300</v>
          </cell>
          <cell r="H102">
            <v>165106.68999999997</v>
          </cell>
        </row>
        <row r="103">
          <cell r="G103">
            <v>150</v>
          </cell>
          <cell r="H103">
            <v>250045</v>
          </cell>
        </row>
        <row r="104">
          <cell r="G104">
            <v>150</v>
          </cell>
          <cell r="H104">
            <v>250045</v>
          </cell>
        </row>
      </sheetData>
      <sheetData sheetId="1">
        <row r="7">
          <cell r="F7">
            <v>0.034</v>
          </cell>
          <cell r="G7">
            <v>15</v>
          </cell>
          <cell r="H7">
            <v>195751.377106848</v>
          </cell>
        </row>
        <row r="8">
          <cell r="F8">
            <v>0.06</v>
          </cell>
          <cell r="G8">
            <v>15</v>
          </cell>
          <cell r="H8">
            <v>5190.640381304281</v>
          </cell>
        </row>
        <row r="9">
          <cell r="F9">
            <v>0.035</v>
          </cell>
          <cell r="G9">
            <v>15</v>
          </cell>
          <cell r="H9">
            <v>11017.91</v>
          </cell>
        </row>
        <row r="10">
          <cell r="F10">
            <v>0.02</v>
          </cell>
          <cell r="G10">
            <v>15</v>
          </cell>
          <cell r="H10">
            <v>16846.83</v>
          </cell>
        </row>
        <row r="11">
          <cell r="F11">
            <v>0.03</v>
          </cell>
          <cell r="G11">
            <v>15</v>
          </cell>
          <cell r="H11">
            <v>16326.43</v>
          </cell>
        </row>
        <row r="12">
          <cell r="F12">
            <v>0.035</v>
          </cell>
          <cell r="G12">
            <v>15</v>
          </cell>
          <cell r="H12">
            <v>15389.130000000001</v>
          </cell>
        </row>
        <row r="13">
          <cell r="F13">
            <v>0.06</v>
          </cell>
          <cell r="G13">
            <v>15</v>
          </cell>
          <cell r="H13">
            <v>17510.6</v>
          </cell>
        </row>
        <row r="14">
          <cell r="F14">
            <v>0.262</v>
          </cell>
          <cell r="G14">
            <v>1</v>
          </cell>
          <cell r="H14">
            <v>111734.01000000001</v>
          </cell>
        </row>
        <row r="15">
          <cell r="F15">
            <v>0.08</v>
          </cell>
          <cell r="G15">
            <v>15</v>
          </cell>
          <cell r="H15">
            <v>32724.8</v>
          </cell>
        </row>
        <row r="16">
          <cell r="F16">
            <v>0.16</v>
          </cell>
          <cell r="G16">
            <v>15</v>
          </cell>
          <cell r="H16">
            <v>110782.94</v>
          </cell>
        </row>
        <row r="17">
          <cell r="F17">
            <v>0.06</v>
          </cell>
          <cell r="G17">
            <v>15</v>
          </cell>
          <cell r="H17">
            <v>30787.179999999997</v>
          </cell>
        </row>
        <row r="18">
          <cell r="F18">
            <v>0.12</v>
          </cell>
          <cell r="G18">
            <v>15</v>
          </cell>
          <cell r="H18">
            <v>54035.92</v>
          </cell>
        </row>
        <row r="19">
          <cell r="F19">
            <v>0.155</v>
          </cell>
          <cell r="G19">
            <v>15</v>
          </cell>
          <cell r="H19">
            <v>82812.9</v>
          </cell>
        </row>
        <row r="20">
          <cell r="F20">
            <v>0.25</v>
          </cell>
          <cell r="G20">
            <v>0.5</v>
          </cell>
          <cell r="H20">
            <v>19935.03153284544</v>
          </cell>
        </row>
        <row r="21">
          <cell r="F21">
            <v>0.04</v>
          </cell>
          <cell r="G21">
            <v>1.5</v>
          </cell>
          <cell r="H21">
            <v>38254.04197056146</v>
          </cell>
        </row>
        <row r="22">
          <cell r="F22">
            <v>0.13</v>
          </cell>
          <cell r="G22">
            <v>1.5</v>
          </cell>
          <cell r="H22">
            <v>37782.02807006157</v>
          </cell>
        </row>
        <row r="23">
          <cell r="F23">
            <v>0.2</v>
          </cell>
          <cell r="G23">
            <v>1.5</v>
          </cell>
          <cell r="H23">
            <v>29578.09974276878</v>
          </cell>
        </row>
        <row r="24">
          <cell r="F24">
            <v>0.15</v>
          </cell>
          <cell r="G24">
            <v>1.5</v>
          </cell>
          <cell r="H24">
            <v>9808.061567973577</v>
          </cell>
        </row>
        <row r="25">
          <cell r="F25">
            <v>0.14</v>
          </cell>
          <cell r="G25">
            <v>1.5</v>
          </cell>
          <cell r="H25">
            <v>9583.23262285743</v>
          </cell>
        </row>
        <row r="26">
          <cell r="F26">
            <v>0.08</v>
          </cell>
          <cell r="G26">
            <v>1.5</v>
          </cell>
          <cell r="H26">
            <v>6185.438038287243</v>
          </cell>
        </row>
        <row r="27">
          <cell r="F27">
            <v>0.08</v>
          </cell>
          <cell r="G27">
            <v>1.5</v>
          </cell>
          <cell r="H27">
            <v>6620.722649491394</v>
          </cell>
        </row>
        <row r="28">
          <cell r="F28">
            <v>0.15</v>
          </cell>
          <cell r="G28">
            <v>1.5</v>
          </cell>
          <cell r="H28">
            <v>8009.458582151813</v>
          </cell>
        </row>
        <row r="29">
          <cell r="F29">
            <v>0.22</v>
          </cell>
          <cell r="G29">
            <v>15</v>
          </cell>
          <cell r="H29">
            <v>37253.54417963348</v>
          </cell>
        </row>
        <row r="30">
          <cell r="F30">
            <v>0.145</v>
          </cell>
          <cell r="G30">
            <v>1.5</v>
          </cell>
          <cell r="H30">
            <v>31669.036986966923</v>
          </cell>
        </row>
        <row r="31">
          <cell r="F31">
            <v>0.4</v>
          </cell>
          <cell r="G31">
            <v>15</v>
          </cell>
          <cell r="H31">
            <v>128989.47000000002</v>
          </cell>
        </row>
        <row r="32">
          <cell r="F32">
            <v>0.23</v>
          </cell>
          <cell r="G32">
            <v>20</v>
          </cell>
          <cell r="H32">
            <v>30431.08</v>
          </cell>
        </row>
        <row r="34">
          <cell r="F34">
            <v>0.06</v>
          </cell>
          <cell r="G34">
            <v>15</v>
          </cell>
          <cell r="H34">
            <v>20797.66</v>
          </cell>
        </row>
        <row r="35">
          <cell r="F35">
            <v>0.141</v>
          </cell>
          <cell r="G35">
            <v>15</v>
          </cell>
          <cell r="H35">
            <v>89295.71999999999</v>
          </cell>
        </row>
        <row r="36">
          <cell r="F36">
            <v>0.45</v>
          </cell>
          <cell r="G36">
            <v>15</v>
          </cell>
          <cell r="H36">
            <v>358026.3</v>
          </cell>
        </row>
        <row r="37">
          <cell r="F37">
            <v>0.4</v>
          </cell>
          <cell r="G37">
            <v>15</v>
          </cell>
          <cell r="H37">
            <v>98341.56</v>
          </cell>
        </row>
        <row r="38">
          <cell r="F38">
            <v>0.9</v>
          </cell>
          <cell r="G38">
            <v>15</v>
          </cell>
          <cell r="H38">
            <v>668037.89</v>
          </cell>
        </row>
        <row r="39">
          <cell r="F39">
            <v>0.2</v>
          </cell>
          <cell r="G39">
            <v>15</v>
          </cell>
          <cell r="H39">
            <v>143099.99999999997</v>
          </cell>
        </row>
        <row r="40">
          <cell r="F40">
            <v>0.33</v>
          </cell>
          <cell r="G40">
            <v>15</v>
          </cell>
          <cell r="H40">
            <v>147900.13</v>
          </cell>
        </row>
        <row r="41">
          <cell r="F41">
            <v>0.321</v>
          </cell>
          <cell r="G41">
            <v>15</v>
          </cell>
          <cell r="H41">
            <v>142380.69999999998</v>
          </cell>
        </row>
        <row r="42">
          <cell r="F42">
            <v>0.125</v>
          </cell>
          <cell r="G42">
            <v>15</v>
          </cell>
          <cell r="H42">
            <v>74946.15</v>
          </cell>
        </row>
        <row r="43">
          <cell r="F43">
            <v>0.21</v>
          </cell>
          <cell r="G43">
            <v>15</v>
          </cell>
          <cell r="H43">
            <v>153585.27999999997</v>
          </cell>
        </row>
        <row r="44">
          <cell r="F44">
            <v>0.03</v>
          </cell>
          <cell r="G44">
            <v>15</v>
          </cell>
          <cell r="H44">
            <v>132528.31</v>
          </cell>
        </row>
        <row r="45">
          <cell r="F45">
            <v>0.37</v>
          </cell>
          <cell r="G45">
            <v>15</v>
          </cell>
          <cell r="H45">
            <v>208584.21</v>
          </cell>
        </row>
        <row r="46">
          <cell r="F46">
            <v>0.13</v>
          </cell>
          <cell r="G46">
            <v>15</v>
          </cell>
          <cell r="H46">
            <v>130543.97999999998</v>
          </cell>
        </row>
        <row r="47">
          <cell r="F47">
            <v>0.15</v>
          </cell>
          <cell r="G47">
            <v>15</v>
          </cell>
          <cell r="H47">
            <v>87540.09</v>
          </cell>
        </row>
        <row r="48">
          <cell r="F48">
            <v>0.07</v>
          </cell>
          <cell r="G48">
            <v>149</v>
          </cell>
          <cell r="H48">
            <v>67843.18999999999</v>
          </cell>
        </row>
        <row r="49">
          <cell r="F49">
            <v>0.2</v>
          </cell>
          <cell r="G49">
            <v>1</v>
          </cell>
          <cell r="H49">
            <v>76622.47</v>
          </cell>
        </row>
        <row r="50">
          <cell r="F50">
            <v>0.24</v>
          </cell>
          <cell r="G50">
            <v>5</v>
          </cell>
          <cell r="H50">
            <v>100958.85</v>
          </cell>
        </row>
        <row r="51">
          <cell r="F51">
            <v>0.225</v>
          </cell>
          <cell r="G51">
            <v>5</v>
          </cell>
          <cell r="H51">
            <v>106954.3</v>
          </cell>
        </row>
        <row r="52">
          <cell r="F52">
            <v>0.12</v>
          </cell>
          <cell r="G52">
            <v>150</v>
          </cell>
          <cell r="H52">
            <v>101136.50999999998</v>
          </cell>
        </row>
        <row r="57">
          <cell r="G57">
            <v>15</v>
          </cell>
        </row>
        <row r="58">
          <cell r="G58">
            <v>360</v>
          </cell>
        </row>
        <row r="59">
          <cell r="G59">
            <v>150</v>
          </cell>
        </row>
        <row r="60">
          <cell r="G60">
            <v>150</v>
          </cell>
        </row>
        <row r="62">
          <cell r="G62">
            <v>145.6</v>
          </cell>
        </row>
        <row r="63">
          <cell r="G63">
            <v>140</v>
          </cell>
        </row>
        <row r="64">
          <cell r="G64">
            <v>70</v>
          </cell>
        </row>
        <row r="65">
          <cell r="G65">
            <v>188</v>
          </cell>
        </row>
        <row r="66">
          <cell r="G66">
            <v>149</v>
          </cell>
        </row>
        <row r="67">
          <cell r="G67">
            <v>70</v>
          </cell>
        </row>
        <row r="68">
          <cell r="G68">
            <v>140.65</v>
          </cell>
        </row>
        <row r="70">
          <cell r="G70">
            <v>15</v>
          </cell>
        </row>
        <row r="71">
          <cell r="G71">
            <v>63</v>
          </cell>
        </row>
        <row r="72">
          <cell r="G72">
            <v>90</v>
          </cell>
        </row>
        <row r="73">
          <cell r="G73">
            <v>50</v>
          </cell>
        </row>
        <row r="75">
          <cell r="G75">
            <v>15</v>
          </cell>
        </row>
        <row r="76">
          <cell r="G76">
            <v>15</v>
          </cell>
        </row>
        <row r="78">
          <cell r="G78">
            <v>500</v>
          </cell>
        </row>
        <row r="79">
          <cell r="G79">
            <v>630</v>
          </cell>
        </row>
        <row r="80">
          <cell r="G80">
            <v>250</v>
          </cell>
        </row>
        <row r="81">
          <cell r="G81">
            <v>150</v>
          </cell>
        </row>
        <row r="82">
          <cell r="G82">
            <v>360</v>
          </cell>
        </row>
        <row r="92">
          <cell r="G92">
            <v>15</v>
          </cell>
          <cell r="H92">
            <v>203998.4</v>
          </cell>
        </row>
        <row r="93">
          <cell r="G93">
            <v>150</v>
          </cell>
          <cell r="H93">
            <v>238940.57</v>
          </cell>
        </row>
        <row r="94">
          <cell r="G94">
            <v>149</v>
          </cell>
          <cell r="H94">
            <v>226953.46000000002</v>
          </cell>
        </row>
        <row r="95">
          <cell r="G95">
            <v>150</v>
          </cell>
          <cell r="H95">
            <v>104944.27999999998</v>
          </cell>
        </row>
        <row r="96">
          <cell r="G96">
            <v>140.65</v>
          </cell>
          <cell r="H96">
            <v>214792.32</v>
          </cell>
        </row>
        <row r="97">
          <cell r="G97">
            <v>150</v>
          </cell>
          <cell r="H97">
            <v>215801.94999999998</v>
          </cell>
        </row>
        <row r="98">
          <cell r="G98">
            <v>15</v>
          </cell>
          <cell r="H98">
            <v>447687.66000000003</v>
          </cell>
        </row>
        <row r="99">
          <cell r="G99">
            <v>15</v>
          </cell>
          <cell r="H99">
            <v>252842.5</v>
          </cell>
        </row>
        <row r="100">
          <cell r="G100">
            <v>100</v>
          </cell>
          <cell r="H100">
            <v>321815.39</v>
          </cell>
        </row>
        <row r="101">
          <cell r="G101">
            <v>100</v>
          </cell>
          <cell r="H101">
            <v>223005.43999999997</v>
          </cell>
        </row>
        <row r="102">
          <cell r="G102">
            <v>90</v>
          </cell>
          <cell r="H102">
            <v>223181.27999999997</v>
          </cell>
        </row>
        <row r="103">
          <cell r="G103">
            <v>149</v>
          </cell>
          <cell r="H103">
            <v>216457.24999999997</v>
          </cell>
        </row>
        <row r="105">
          <cell r="G105">
            <v>107</v>
          </cell>
        </row>
        <row r="106">
          <cell r="G106">
            <v>107</v>
          </cell>
        </row>
        <row r="107">
          <cell r="G107">
            <v>360</v>
          </cell>
        </row>
        <row r="108">
          <cell r="G108">
            <v>150</v>
          </cell>
        </row>
        <row r="109">
          <cell r="G109">
            <v>120</v>
          </cell>
        </row>
        <row r="110">
          <cell r="G110">
            <v>360</v>
          </cell>
        </row>
      </sheetData>
      <sheetData sheetId="2">
        <row r="7">
          <cell r="F7">
            <v>0.02</v>
          </cell>
          <cell r="H7">
            <v>6130.929211104523</v>
          </cell>
        </row>
        <row r="8">
          <cell r="F8">
            <v>0.06</v>
          </cell>
          <cell r="H8">
            <v>114550.91798600009</v>
          </cell>
        </row>
        <row r="9">
          <cell r="F9">
            <v>0.045</v>
          </cell>
          <cell r="H9">
            <v>27912.618539594198</v>
          </cell>
        </row>
        <row r="10">
          <cell r="F10">
            <v>0.04</v>
          </cell>
          <cell r="H10">
            <v>7671.970976392288</v>
          </cell>
        </row>
        <row r="11">
          <cell r="F11">
            <v>0.04</v>
          </cell>
          <cell r="H11">
            <v>8333.47949582107</v>
          </cell>
        </row>
        <row r="12">
          <cell r="F12">
            <v>0.04</v>
          </cell>
          <cell r="H12">
            <v>26859.549921356866</v>
          </cell>
        </row>
        <row r="13">
          <cell r="F13">
            <v>0.15</v>
          </cell>
          <cell r="H13">
            <v>2342.6335994069427</v>
          </cell>
        </row>
        <row r="14">
          <cell r="F14">
            <v>0.115</v>
          </cell>
          <cell r="H14">
            <v>7092.153165807286</v>
          </cell>
        </row>
        <row r="15">
          <cell r="F15">
            <v>0.07</v>
          </cell>
          <cell r="H15">
            <v>0</v>
          </cell>
        </row>
        <row r="16">
          <cell r="F16">
            <v>0.13</v>
          </cell>
          <cell r="H16">
            <v>59223.100000000006</v>
          </cell>
        </row>
        <row r="17">
          <cell r="F17">
            <v>0.03</v>
          </cell>
          <cell r="H17">
            <v>29567.500000000004</v>
          </cell>
        </row>
        <row r="18">
          <cell r="F18">
            <v>0.03</v>
          </cell>
          <cell r="H18">
            <v>15145.24</v>
          </cell>
        </row>
        <row r="19">
          <cell r="F19">
            <v>0.04</v>
          </cell>
          <cell r="H19">
            <v>0</v>
          </cell>
        </row>
        <row r="20">
          <cell r="F20">
            <v>0.12</v>
          </cell>
          <cell r="H20">
            <v>50737.56</v>
          </cell>
        </row>
        <row r="21">
          <cell r="F21">
            <v>0.112</v>
          </cell>
          <cell r="H21">
            <v>14284.93</v>
          </cell>
        </row>
        <row r="22">
          <cell r="F22">
            <v>0.17</v>
          </cell>
          <cell r="H22">
            <v>85271.10819672132</v>
          </cell>
        </row>
        <row r="23">
          <cell r="F23">
            <v>0.15</v>
          </cell>
          <cell r="H23">
            <v>67046.35</v>
          </cell>
        </row>
        <row r="24">
          <cell r="F24">
            <v>0.13</v>
          </cell>
          <cell r="H24">
            <v>61646.69</v>
          </cell>
        </row>
        <row r="25">
          <cell r="F25">
            <v>0.07</v>
          </cell>
          <cell r="H25">
            <v>0</v>
          </cell>
        </row>
        <row r="26">
          <cell r="F26">
            <v>0.03</v>
          </cell>
          <cell r="H26">
            <v>15688.45</v>
          </cell>
        </row>
        <row r="27">
          <cell r="F27">
            <v>0.07</v>
          </cell>
          <cell r="H27">
            <v>0</v>
          </cell>
        </row>
        <row r="28">
          <cell r="F28">
            <v>0.2</v>
          </cell>
          <cell r="H28">
            <v>27658.71</v>
          </cell>
        </row>
        <row r="29">
          <cell r="F29">
            <v>0.11</v>
          </cell>
          <cell r="H29">
            <v>7247.57</v>
          </cell>
        </row>
        <row r="30">
          <cell r="F30">
            <v>0.03</v>
          </cell>
          <cell r="H30">
            <v>20264.76</v>
          </cell>
        </row>
        <row r="31">
          <cell r="F31">
            <v>0.32</v>
          </cell>
          <cell r="H31">
            <v>56197.75</v>
          </cell>
        </row>
        <row r="32">
          <cell r="F32">
            <v>0.09</v>
          </cell>
          <cell r="H32">
            <v>6275.18</v>
          </cell>
        </row>
        <row r="33">
          <cell r="F33">
            <v>0.2</v>
          </cell>
          <cell r="H33">
            <v>45431.68</v>
          </cell>
        </row>
        <row r="34">
          <cell r="F34">
            <v>0.1</v>
          </cell>
          <cell r="H34">
            <v>33780.89</v>
          </cell>
        </row>
        <row r="35">
          <cell r="F35">
            <v>0.14</v>
          </cell>
          <cell r="H35">
            <v>18293.75</v>
          </cell>
        </row>
        <row r="36">
          <cell r="F36">
            <v>0.45</v>
          </cell>
          <cell r="H36">
            <v>42270.95999999999</v>
          </cell>
        </row>
        <row r="37">
          <cell r="F37">
            <v>0.1</v>
          </cell>
          <cell r="H37">
            <v>18854.12</v>
          </cell>
        </row>
        <row r="38">
          <cell r="F38">
            <v>0.1</v>
          </cell>
          <cell r="H38">
            <v>18155.36</v>
          </cell>
        </row>
        <row r="39">
          <cell r="F39">
            <v>0.15</v>
          </cell>
          <cell r="H39">
            <v>29428.33</v>
          </cell>
        </row>
        <row r="40">
          <cell r="F40">
            <v>0.475</v>
          </cell>
          <cell r="H40">
            <v>87633.91620689655</v>
          </cell>
        </row>
        <row r="41">
          <cell r="F41">
            <v>0.41</v>
          </cell>
          <cell r="H41">
            <v>112893.02</v>
          </cell>
        </row>
        <row r="42">
          <cell r="F42">
            <v>0.02</v>
          </cell>
          <cell r="H42">
            <v>130369.85999999999</v>
          </cell>
        </row>
        <row r="43">
          <cell r="F43">
            <v>0.05</v>
          </cell>
          <cell r="H43">
            <v>6898.82</v>
          </cell>
        </row>
        <row r="44">
          <cell r="F44">
            <v>0.115</v>
          </cell>
          <cell r="H44">
            <v>0</v>
          </cell>
        </row>
        <row r="45">
          <cell r="F45">
            <v>0.38</v>
          </cell>
          <cell r="H45">
            <v>63875.48</v>
          </cell>
        </row>
        <row r="46">
          <cell r="F46">
            <v>0.175</v>
          </cell>
          <cell r="H46">
            <v>8272.61</v>
          </cell>
        </row>
        <row r="47">
          <cell r="F47">
            <v>0.05</v>
          </cell>
          <cell r="H47">
            <v>13869.784491753231</v>
          </cell>
        </row>
        <row r="48">
          <cell r="F48">
            <v>0.15</v>
          </cell>
          <cell r="H48">
            <v>16358.821791348424</v>
          </cell>
        </row>
        <row r="49">
          <cell r="F49">
            <v>0.105</v>
          </cell>
          <cell r="H49">
            <v>12070.235650612072</v>
          </cell>
        </row>
        <row r="50">
          <cell r="F50">
            <v>0.008</v>
          </cell>
          <cell r="H50">
            <v>4625.391801456421</v>
          </cell>
        </row>
        <row r="51">
          <cell r="F51">
            <v>0.07</v>
          </cell>
          <cell r="H51">
            <v>6257.968092122938</v>
          </cell>
        </row>
        <row r="53">
          <cell r="F53">
            <v>0.25</v>
          </cell>
          <cell r="H53">
            <v>63126.33</v>
          </cell>
        </row>
        <row r="54">
          <cell r="F54">
            <v>0.45</v>
          </cell>
          <cell r="H54">
            <v>222779.13</v>
          </cell>
        </row>
        <row r="55">
          <cell r="F55">
            <v>0.34</v>
          </cell>
          <cell r="H55">
            <v>241213.61000000002</v>
          </cell>
        </row>
        <row r="56">
          <cell r="F56">
            <v>0.38</v>
          </cell>
          <cell r="H56">
            <v>183642.18</v>
          </cell>
        </row>
        <row r="57">
          <cell r="F57">
            <v>0.07</v>
          </cell>
          <cell r="H57">
            <v>45199.71000000001</v>
          </cell>
        </row>
        <row r="58">
          <cell r="F58">
            <v>0.44</v>
          </cell>
          <cell r="H58">
            <v>220701.6918032787</v>
          </cell>
        </row>
        <row r="59">
          <cell r="F59">
            <v>0.19</v>
          </cell>
          <cell r="H59">
            <v>65071.17</v>
          </cell>
        </row>
        <row r="60">
          <cell r="F60">
            <v>0.47</v>
          </cell>
          <cell r="H60">
            <v>39959.1</v>
          </cell>
        </row>
        <row r="61">
          <cell r="F61">
            <v>0.3</v>
          </cell>
          <cell r="H61">
            <v>69772.18000000001</v>
          </cell>
        </row>
        <row r="62">
          <cell r="F62">
            <v>0.07</v>
          </cell>
          <cell r="H62">
            <v>26616.4</v>
          </cell>
        </row>
        <row r="63">
          <cell r="F63">
            <v>0.09</v>
          </cell>
          <cell r="H63">
            <v>0</v>
          </cell>
        </row>
        <row r="64">
          <cell r="F64">
            <v>0.47</v>
          </cell>
          <cell r="H64">
            <v>121795.1</v>
          </cell>
        </row>
        <row r="65">
          <cell r="F65">
            <v>0.26</v>
          </cell>
          <cell r="H65">
            <v>39110.11</v>
          </cell>
        </row>
        <row r="66">
          <cell r="F66">
            <v>0.15</v>
          </cell>
          <cell r="H66">
            <v>43844.96</v>
          </cell>
        </row>
        <row r="67">
          <cell r="F67">
            <v>0.52</v>
          </cell>
          <cell r="H67">
            <v>74549.7</v>
          </cell>
        </row>
        <row r="68">
          <cell r="F68">
            <v>0.08</v>
          </cell>
          <cell r="H68">
            <v>16194.050000000001</v>
          </cell>
        </row>
        <row r="69">
          <cell r="F69">
            <v>0.2</v>
          </cell>
          <cell r="H69">
            <v>59226.09</v>
          </cell>
        </row>
        <row r="70">
          <cell r="F70">
            <v>0.5</v>
          </cell>
          <cell r="H70">
            <v>308212.18</v>
          </cell>
        </row>
        <row r="71">
          <cell r="F71">
            <v>0.2</v>
          </cell>
          <cell r="H71">
            <v>99855.07</v>
          </cell>
        </row>
        <row r="72">
          <cell r="F72">
            <v>0.25</v>
          </cell>
          <cell r="H72">
            <v>46123.113793103454</v>
          </cell>
        </row>
        <row r="73">
          <cell r="F73">
            <v>0.11</v>
          </cell>
          <cell r="H73">
            <v>0</v>
          </cell>
        </row>
        <row r="74">
          <cell r="F74">
            <v>0.03</v>
          </cell>
          <cell r="H74">
            <v>0</v>
          </cell>
        </row>
        <row r="75">
          <cell r="F75">
            <v>0.12</v>
          </cell>
          <cell r="H75">
            <v>104597.55</v>
          </cell>
        </row>
        <row r="76">
          <cell r="F76">
            <v>0.01</v>
          </cell>
          <cell r="H76">
            <v>8121.22180145642</v>
          </cell>
        </row>
        <row r="77">
          <cell r="F77">
            <v>0.15</v>
          </cell>
          <cell r="H77">
            <v>57470.020000000004</v>
          </cell>
        </row>
        <row r="79">
          <cell r="F79">
            <v>0.61</v>
          </cell>
          <cell r="H79">
            <v>279735.58999999997</v>
          </cell>
        </row>
        <row r="83">
          <cell r="F83">
            <v>0.058</v>
          </cell>
          <cell r="H83">
            <v>66505.78</v>
          </cell>
        </row>
        <row r="84">
          <cell r="F84">
            <v>0.012</v>
          </cell>
          <cell r="H84">
            <v>114603.15653730952</v>
          </cell>
        </row>
        <row r="85">
          <cell r="F85">
            <v>0.212</v>
          </cell>
          <cell r="H85">
            <v>220180.72999999998</v>
          </cell>
        </row>
        <row r="86">
          <cell r="F86">
            <v>0.06</v>
          </cell>
          <cell r="H86">
            <v>67198.32</v>
          </cell>
        </row>
        <row r="87">
          <cell r="F87">
            <v>0.057</v>
          </cell>
          <cell r="H87">
            <v>75582.14</v>
          </cell>
        </row>
        <row r="88">
          <cell r="F88">
            <v>0.06</v>
          </cell>
          <cell r="H88">
            <v>61366.31</v>
          </cell>
        </row>
        <row r="89">
          <cell r="F89">
            <v>0.5</v>
          </cell>
          <cell r="H89">
            <v>321004.75</v>
          </cell>
        </row>
        <row r="90">
          <cell r="F90">
            <v>0.29</v>
          </cell>
          <cell r="H90">
            <v>213118.39</v>
          </cell>
        </row>
        <row r="91">
          <cell r="F91">
            <v>0.055</v>
          </cell>
          <cell r="H91">
            <v>91285.13</v>
          </cell>
        </row>
        <row r="92">
          <cell r="F92">
            <v>0.03</v>
          </cell>
          <cell r="H92">
            <v>43413.44</v>
          </cell>
        </row>
        <row r="93">
          <cell r="F93">
            <v>0.026</v>
          </cell>
          <cell r="H93">
            <v>43601.33</v>
          </cell>
        </row>
        <row r="94">
          <cell r="F94">
            <v>0.013</v>
          </cell>
          <cell r="H94">
            <v>41792.920000000006</v>
          </cell>
        </row>
        <row r="95">
          <cell r="F95">
            <v>0.046</v>
          </cell>
          <cell r="H95">
            <v>81797.50666666667</v>
          </cell>
        </row>
        <row r="96">
          <cell r="F96">
            <v>0.065</v>
          </cell>
          <cell r="H96">
            <v>66101.28</v>
          </cell>
        </row>
        <row r="97">
          <cell r="F97">
            <v>0.04</v>
          </cell>
          <cell r="H97">
            <v>48552.649999999994</v>
          </cell>
        </row>
        <row r="98">
          <cell r="F98">
            <v>0.31</v>
          </cell>
          <cell r="H98">
            <v>273096.35</v>
          </cell>
        </row>
        <row r="99">
          <cell r="F99">
            <v>0.025</v>
          </cell>
          <cell r="H99">
            <v>43786.72</v>
          </cell>
        </row>
        <row r="100">
          <cell r="F100">
            <v>0.13</v>
          </cell>
          <cell r="H100">
            <v>189067.79</v>
          </cell>
        </row>
        <row r="102">
          <cell r="F102">
            <v>0.084</v>
          </cell>
          <cell r="H102">
            <v>95254.59000000001</v>
          </cell>
        </row>
        <row r="103">
          <cell r="F103">
            <v>0.023</v>
          </cell>
          <cell r="H103">
            <v>23494.99</v>
          </cell>
        </row>
        <row r="104">
          <cell r="F104">
            <v>0.1</v>
          </cell>
          <cell r="H104">
            <v>98093.42000000001</v>
          </cell>
        </row>
        <row r="105">
          <cell r="F105">
            <v>0.016</v>
          </cell>
          <cell r="H105">
            <v>34488.19</v>
          </cell>
        </row>
        <row r="106">
          <cell r="F106">
            <v>0.046</v>
          </cell>
          <cell r="H106">
            <v>81797.50666666667</v>
          </cell>
        </row>
        <row r="107">
          <cell r="F107">
            <v>0.031</v>
          </cell>
          <cell r="H107">
            <v>40931.68</v>
          </cell>
        </row>
        <row r="108">
          <cell r="F108">
            <v>0.15</v>
          </cell>
          <cell r="H108">
            <v>80844.34000000001</v>
          </cell>
        </row>
        <row r="109">
          <cell r="F109">
            <v>0.004</v>
          </cell>
          <cell r="H109">
            <v>16479.536442428423</v>
          </cell>
        </row>
        <row r="110">
          <cell r="F110">
            <v>0.004</v>
          </cell>
          <cell r="H110">
            <v>64711.512987641865</v>
          </cell>
        </row>
        <row r="111">
          <cell r="F111">
            <v>0.017</v>
          </cell>
          <cell r="H111">
            <v>100973.51487554994</v>
          </cell>
        </row>
        <row r="112">
          <cell r="F112">
            <v>0.01</v>
          </cell>
          <cell r="H112">
            <v>0</v>
          </cell>
        </row>
        <row r="113">
          <cell r="F113">
            <v>0.005</v>
          </cell>
          <cell r="H113">
            <v>0</v>
          </cell>
        </row>
        <row r="115">
          <cell r="F115">
            <v>0.024</v>
          </cell>
          <cell r="H115">
            <v>0</v>
          </cell>
        </row>
        <row r="116">
          <cell r="F116">
            <v>0.02</v>
          </cell>
          <cell r="H116">
            <v>59837.29743612205</v>
          </cell>
        </row>
        <row r="117">
          <cell r="F117">
            <v>0.009</v>
          </cell>
          <cell r="H117">
            <v>0</v>
          </cell>
        </row>
        <row r="119">
          <cell r="F119">
            <v>0.14</v>
          </cell>
          <cell r="H119">
            <v>196687.72</v>
          </cell>
        </row>
        <row r="120">
          <cell r="F120">
            <v>0.022</v>
          </cell>
          <cell r="H120">
            <v>39120.54666666666</v>
          </cell>
        </row>
        <row r="122">
          <cell r="F122">
            <v>0.635</v>
          </cell>
          <cell r="H122">
            <v>679779.63</v>
          </cell>
        </row>
        <row r="123">
          <cell r="F123">
            <v>0.076</v>
          </cell>
          <cell r="H123">
            <v>126105.90000000001</v>
          </cell>
        </row>
        <row r="126">
          <cell r="H126">
            <v>126621.31000000001</v>
          </cell>
        </row>
        <row r="135">
          <cell r="H135">
            <v>1001081.6000000001</v>
          </cell>
        </row>
        <row r="136">
          <cell r="H136">
            <v>228487.23</v>
          </cell>
        </row>
        <row r="137">
          <cell r="H137">
            <v>399260.2</v>
          </cell>
        </row>
        <row r="138">
          <cell r="H138">
            <v>207384.38</v>
          </cell>
        </row>
        <row r="139">
          <cell r="H139">
            <v>491498.36</v>
          </cell>
        </row>
        <row r="140">
          <cell r="H140">
            <v>211622.52</v>
          </cell>
        </row>
        <row r="142">
          <cell r="H142">
            <v>934701.17</v>
          </cell>
        </row>
        <row r="143">
          <cell r="H143">
            <v>516275.13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_2018 год"/>
      <sheetName val="Приложение 1_2019 год"/>
      <sheetName val="Приложение 1_2020 год"/>
      <sheetName val="расчет СТС_СЕММ"/>
      <sheetName val="Сравнение СТС_СЕММ"/>
      <sheetName val="20"/>
      <sheetName val="08"/>
      <sheetName val="20_2018"/>
      <sheetName val="08_2018"/>
      <sheetName val="УНЦ_2021+анализ_№10"/>
      <sheetName val="УНЦ 2020_№10"/>
    </sheetNames>
    <sheetDataSet>
      <sheetData sheetId="2">
        <row r="7">
          <cell r="G7">
            <v>15</v>
          </cell>
        </row>
        <row r="8">
          <cell r="G8">
            <v>15</v>
          </cell>
        </row>
        <row r="9">
          <cell r="G9">
            <v>15</v>
          </cell>
        </row>
        <row r="10">
          <cell r="G10">
            <v>15</v>
          </cell>
        </row>
        <row r="11">
          <cell r="G11">
            <v>15</v>
          </cell>
        </row>
        <row r="12">
          <cell r="G12">
            <v>15</v>
          </cell>
        </row>
        <row r="13">
          <cell r="G13">
            <v>15</v>
          </cell>
        </row>
        <row r="14">
          <cell r="G14">
            <v>15</v>
          </cell>
        </row>
        <row r="15">
          <cell r="G15">
            <v>15</v>
          </cell>
        </row>
        <row r="16">
          <cell r="G16">
            <v>15</v>
          </cell>
        </row>
        <row r="17">
          <cell r="G17">
            <v>15</v>
          </cell>
        </row>
        <row r="18">
          <cell r="G18">
            <v>15</v>
          </cell>
        </row>
        <row r="19">
          <cell r="G19">
            <v>15</v>
          </cell>
        </row>
        <row r="20">
          <cell r="G20">
            <v>15</v>
          </cell>
        </row>
        <row r="21">
          <cell r="G21">
            <v>15</v>
          </cell>
        </row>
        <row r="22">
          <cell r="G22">
            <v>15</v>
          </cell>
        </row>
        <row r="23">
          <cell r="G23">
            <v>15</v>
          </cell>
        </row>
        <row r="24">
          <cell r="G24">
            <v>15</v>
          </cell>
        </row>
        <row r="25">
          <cell r="G25">
            <v>15</v>
          </cell>
        </row>
        <row r="26">
          <cell r="G26">
            <v>70</v>
          </cell>
        </row>
        <row r="27">
          <cell r="G27">
            <v>0.3</v>
          </cell>
        </row>
        <row r="28">
          <cell r="G28">
            <v>70</v>
          </cell>
        </row>
        <row r="29">
          <cell r="G29">
            <v>3.5</v>
          </cell>
        </row>
        <row r="30">
          <cell r="G30">
            <v>1.5</v>
          </cell>
        </row>
        <row r="31">
          <cell r="G31">
            <v>0.3</v>
          </cell>
        </row>
        <row r="32">
          <cell r="G32">
            <v>0.3</v>
          </cell>
        </row>
        <row r="33">
          <cell r="G33">
            <v>0.3</v>
          </cell>
        </row>
        <row r="34">
          <cell r="G34">
            <v>0.3</v>
          </cell>
        </row>
        <row r="35">
          <cell r="G35">
            <v>15</v>
          </cell>
        </row>
        <row r="36">
          <cell r="G36">
            <v>15.2</v>
          </cell>
        </row>
        <row r="37">
          <cell r="G37">
            <v>24</v>
          </cell>
        </row>
        <row r="38">
          <cell r="G38">
            <v>24</v>
          </cell>
        </row>
        <row r="39">
          <cell r="G39">
            <v>24</v>
          </cell>
        </row>
        <row r="40">
          <cell r="G40">
            <v>1.5</v>
          </cell>
        </row>
        <row r="41">
          <cell r="G41">
            <v>15</v>
          </cell>
        </row>
        <row r="42">
          <cell r="G42">
            <v>52.85</v>
          </cell>
        </row>
        <row r="43">
          <cell r="G43">
            <v>120</v>
          </cell>
        </row>
        <row r="44">
          <cell r="G44">
            <v>120</v>
          </cell>
        </row>
        <row r="45">
          <cell r="G45">
            <v>70</v>
          </cell>
        </row>
        <row r="46">
          <cell r="G46">
            <v>60</v>
          </cell>
        </row>
        <row r="47">
          <cell r="G47">
            <v>15.15</v>
          </cell>
        </row>
        <row r="48">
          <cell r="G48">
            <v>0.3</v>
          </cell>
        </row>
        <row r="49">
          <cell r="G49">
            <v>0.3</v>
          </cell>
        </row>
        <row r="50">
          <cell r="G50">
            <v>1</v>
          </cell>
        </row>
        <row r="51">
          <cell r="G51">
            <v>80</v>
          </cell>
        </row>
        <row r="52">
          <cell r="G52">
            <v>0.3</v>
          </cell>
        </row>
        <row r="54">
          <cell r="G54">
            <v>15</v>
          </cell>
        </row>
        <row r="55">
          <cell r="G55">
            <v>15</v>
          </cell>
        </row>
        <row r="56">
          <cell r="G56">
            <v>15</v>
          </cell>
        </row>
        <row r="57">
          <cell r="G57">
            <v>15</v>
          </cell>
        </row>
        <row r="58">
          <cell r="G58">
            <v>15</v>
          </cell>
        </row>
        <row r="59">
          <cell r="G59">
            <v>15</v>
          </cell>
        </row>
        <row r="60">
          <cell r="G60">
            <v>15</v>
          </cell>
        </row>
        <row r="61">
          <cell r="G61">
            <v>70</v>
          </cell>
        </row>
        <row r="62">
          <cell r="G62">
            <v>80</v>
          </cell>
        </row>
        <row r="63">
          <cell r="G63">
            <v>50</v>
          </cell>
        </row>
        <row r="64">
          <cell r="G64">
            <v>15</v>
          </cell>
        </row>
        <row r="65">
          <cell r="G65">
            <v>70</v>
          </cell>
        </row>
        <row r="66">
          <cell r="G66">
            <v>70</v>
          </cell>
        </row>
        <row r="67">
          <cell r="G67">
            <v>120</v>
          </cell>
        </row>
        <row r="68">
          <cell r="G68">
            <v>15</v>
          </cell>
        </row>
        <row r="69">
          <cell r="G69">
            <v>50</v>
          </cell>
        </row>
        <row r="70">
          <cell r="G70">
            <v>50</v>
          </cell>
        </row>
        <row r="71">
          <cell r="G71">
            <v>50</v>
          </cell>
        </row>
        <row r="72">
          <cell r="G72">
            <v>65</v>
          </cell>
        </row>
        <row r="73">
          <cell r="G73">
            <v>15</v>
          </cell>
        </row>
        <row r="74">
          <cell r="G74">
            <v>120</v>
          </cell>
        </row>
        <row r="75">
          <cell r="G75">
            <v>120</v>
          </cell>
        </row>
        <row r="76">
          <cell r="G76">
            <v>0.2</v>
          </cell>
        </row>
        <row r="77">
          <cell r="G77">
            <v>52.85</v>
          </cell>
        </row>
        <row r="78">
          <cell r="G78">
            <v>70</v>
          </cell>
        </row>
        <row r="80">
          <cell r="G80">
            <v>50</v>
          </cell>
        </row>
        <row r="84">
          <cell r="G84">
            <v>15</v>
          </cell>
        </row>
        <row r="85">
          <cell r="G85">
            <v>120</v>
          </cell>
        </row>
        <row r="86">
          <cell r="G86">
            <v>136</v>
          </cell>
        </row>
        <row r="87">
          <cell r="G87">
            <v>150</v>
          </cell>
        </row>
        <row r="88">
          <cell r="G88">
            <v>50</v>
          </cell>
        </row>
        <row r="89">
          <cell r="G89">
            <v>80</v>
          </cell>
        </row>
        <row r="90">
          <cell r="G90">
            <v>90</v>
          </cell>
        </row>
        <row r="91">
          <cell r="G91">
            <v>146</v>
          </cell>
        </row>
        <row r="92">
          <cell r="G92">
            <v>120</v>
          </cell>
        </row>
        <row r="93">
          <cell r="G93">
            <v>50</v>
          </cell>
        </row>
        <row r="94">
          <cell r="G94">
            <v>145</v>
          </cell>
        </row>
        <row r="95">
          <cell r="G95">
            <v>149</v>
          </cell>
        </row>
        <row r="96">
          <cell r="G96">
            <v>120</v>
          </cell>
        </row>
        <row r="97">
          <cell r="G97">
            <v>50</v>
          </cell>
        </row>
        <row r="98">
          <cell r="G98">
            <v>70</v>
          </cell>
        </row>
        <row r="99">
          <cell r="G99">
            <v>73.63</v>
          </cell>
        </row>
        <row r="100">
          <cell r="G100">
            <v>150</v>
          </cell>
        </row>
        <row r="101">
          <cell r="G101">
            <v>120</v>
          </cell>
        </row>
        <row r="103">
          <cell r="G103">
            <v>85</v>
          </cell>
        </row>
        <row r="104">
          <cell r="G104">
            <v>50</v>
          </cell>
        </row>
        <row r="105">
          <cell r="G105">
            <v>15</v>
          </cell>
        </row>
        <row r="106">
          <cell r="G106">
            <v>100</v>
          </cell>
        </row>
        <row r="107">
          <cell r="G107">
            <v>120</v>
          </cell>
        </row>
        <row r="108">
          <cell r="G108">
            <v>60</v>
          </cell>
        </row>
        <row r="109">
          <cell r="G109">
            <v>102</v>
          </cell>
        </row>
        <row r="110">
          <cell r="G110">
            <v>80</v>
          </cell>
        </row>
        <row r="111">
          <cell r="G111">
            <v>50</v>
          </cell>
        </row>
        <row r="112">
          <cell r="G112">
            <v>149</v>
          </cell>
        </row>
        <row r="113">
          <cell r="G113">
            <v>149</v>
          </cell>
        </row>
        <row r="114">
          <cell r="G114">
            <v>120</v>
          </cell>
        </row>
        <row r="116">
          <cell r="G116">
            <v>80</v>
          </cell>
        </row>
        <row r="117">
          <cell r="G117">
            <v>149</v>
          </cell>
        </row>
        <row r="118">
          <cell r="G118">
            <v>149</v>
          </cell>
        </row>
        <row r="120">
          <cell r="G120">
            <v>150</v>
          </cell>
        </row>
        <row r="121">
          <cell r="G121">
            <v>120</v>
          </cell>
        </row>
        <row r="123">
          <cell r="G123">
            <v>149</v>
          </cell>
        </row>
        <row r="124">
          <cell r="G124">
            <v>149</v>
          </cell>
        </row>
        <row r="127">
          <cell r="G127">
            <v>150</v>
          </cell>
        </row>
        <row r="136">
          <cell r="G136">
            <v>149</v>
          </cell>
        </row>
        <row r="137">
          <cell r="G137">
            <v>149</v>
          </cell>
        </row>
        <row r="138">
          <cell r="G138">
            <v>120</v>
          </cell>
        </row>
        <row r="139">
          <cell r="G139">
            <v>120</v>
          </cell>
        </row>
        <row r="140">
          <cell r="G140">
            <v>50</v>
          </cell>
        </row>
        <row r="141">
          <cell r="G141">
            <v>50</v>
          </cell>
        </row>
        <row r="143">
          <cell r="G143">
            <v>50</v>
          </cell>
        </row>
        <row r="144">
          <cell r="G144">
            <v>50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.Исполненные до 15(550р)"/>
      <sheetName val="2.Заключенные до 150(рассрочка)"/>
      <sheetName val="3.Исполненные до 150(тариф)"/>
      <sheetName val="4.ВД до 15"/>
      <sheetName val="5.ВД по рассрочке"/>
      <sheetName val="6.ВД до 150"/>
      <sheetName val="7.Исполненные свыше 150(тариф)"/>
      <sheetName val="Лист1"/>
      <sheetName val="Лист2"/>
    </sheetNames>
    <sheetDataSet>
      <sheetData sheetId="3">
        <row r="21">
          <cell r="D21">
            <v>47</v>
          </cell>
          <cell r="E21">
            <v>526.3039999999999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zoomScale="80" zoomScaleNormal="80" zoomScalePageLayoutView="0" workbookViewId="0" topLeftCell="A1">
      <selection activeCell="G28" sqref="G28"/>
    </sheetView>
  </sheetViews>
  <sheetFormatPr defaultColWidth="9.140625" defaultRowHeight="15"/>
  <cols>
    <col min="1" max="1" width="12.7109375" style="1" customWidth="1"/>
    <col min="2" max="2" width="74.28125" style="1" customWidth="1"/>
    <col min="3" max="3" width="10.57421875" style="1" customWidth="1"/>
    <col min="4" max="4" width="14.140625" style="1" customWidth="1"/>
    <col min="5" max="5" width="21.57421875" style="1" customWidth="1"/>
    <col min="6" max="6" width="15.8515625" style="1" customWidth="1"/>
    <col min="7" max="7" width="20.00390625" style="1" customWidth="1"/>
    <col min="8" max="16384" width="9.140625" style="1" customWidth="1"/>
  </cols>
  <sheetData>
    <row r="1" spans="1:7" ht="15.75">
      <c r="A1" s="335" t="s">
        <v>0</v>
      </c>
      <c r="B1" s="335"/>
      <c r="C1" s="335"/>
      <c r="D1" s="335"/>
      <c r="E1" s="335"/>
      <c r="F1" s="335"/>
      <c r="G1" s="335"/>
    </row>
    <row r="2" spans="1:7" ht="15.75">
      <c r="A2" s="335" t="s">
        <v>1</v>
      </c>
      <c r="B2" s="335"/>
      <c r="C2" s="335"/>
      <c r="D2" s="335"/>
      <c r="E2" s="335"/>
      <c r="F2" s="335"/>
      <c r="G2" s="335"/>
    </row>
    <row r="3" spans="1:7" ht="15.75">
      <c r="A3" s="336"/>
      <c r="B3" s="336"/>
      <c r="C3" s="336"/>
      <c r="D3" s="336"/>
      <c r="E3" s="336"/>
      <c r="F3" s="336"/>
      <c r="G3" s="336"/>
    </row>
    <row r="4" spans="1:7" ht="62.25" customHeight="1">
      <c r="A4" s="337" t="s">
        <v>54</v>
      </c>
      <c r="B4" s="337"/>
      <c r="C4" s="337"/>
      <c r="D4" s="337"/>
      <c r="E4" s="337"/>
      <c r="F4" s="337"/>
      <c r="G4" s="337"/>
    </row>
    <row r="5" spans="1:7" ht="24" customHeight="1">
      <c r="A5" s="338" t="s">
        <v>2</v>
      </c>
      <c r="B5" s="338"/>
      <c r="C5" s="338"/>
      <c r="D5" s="338"/>
      <c r="E5" s="338"/>
      <c r="F5" s="338"/>
      <c r="G5" s="338"/>
    </row>
    <row r="6" spans="1:7" ht="19.5" thickBot="1">
      <c r="A6" s="334"/>
      <c r="B6" s="334"/>
      <c r="C6" s="334"/>
      <c r="D6" s="334"/>
      <c r="E6" s="334"/>
      <c r="F6" s="334"/>
      <c r="G6" s="334"/>
    </row>
    <row r="7" spans="1:7" ht="64.5" customHeight="1" thickBot="1">
      <c r="A7" s="2" t="s">
        <v>3</v>
      </c>
      <c r="B7" s="3" t="s">
        <v>4</v>
      </c>
      <c r="C7" s="4" t="s">
        <v>5</v>
      </c>
      <c r="D7" s="5" t="s">
        <v>6</v>
      </c>
      <c r="E7" s="5" t="s">
        <v>7</v>
      </c>
      <c r="F7" s="5" t="s">
        <v>52</v>
      </c>
      <c r="G7" s="3" t="s">
        <v>9</v>
      </c>
    </row>
    <row r="8" spans="1:7" ht="15.75">
      <c r="A8" s="6" t="s">
        <v>10</v>
      </c>
      <c r="B8" s="7" t="s">
        <v>11</v>
      </c>
      <c r="C8" s="8"/>
      <c r="D8" s="9"/>
      <c r="E8" s="9"/>
      <c r="F8" s="9"/>
      <c r="G8" s="21"/>
    </row>
    <row r="9" spans="1:7" ht="15.75">
      <c r="A9" s="10" t="s">
        <v>37</v>
      </c>
      <c r="B9" s="22" t="s">
        <v>12</v>
      </c>
      <c r="C9" s="13">
        <v>2014</v>
      </c>
      <c r="D9" s="12">
        <v>0.4</v>
      </c>
      <c r="E9" s="12">
        <v>575</v>
      </c>
      <c r="F9" s="12">
        <v>63</v>
      </c>
      <c r="G9" s="25">
        <f>152908.23/1000</f>
        <v>152.90823</v>
      </c>
    </row>
    <row r="10" spans="1:7" ht="15.75">
      <c r="A10" s="10" t="s">
        <v>38</v>
      </c>
      <c r="B10" s="22" t="s">
        <v>13</v>
      </c>
      <c r="C10" s="13">
        <v>2014</v>
      </c>
      <c r="D10" s="12">
        <v>0.4</v>
      </c>
      <c r="E10" s="12">
        <v>220</v>
      </c>
      <c r="F10" s="12">
        <v>81</v>
      </c>
      <c r="G10" s="25">
        <f>80255.59/1000</f>
        <v>80.25559</v>
      </c>
    </row>
    <row r="11" spans="1:7" ht="15.75">
      <c r="A11" s="10" t="s">
        <v>39</v>
      </c>
      <c r="B11" s="22" t="s">
        <v>14</v>
      </c>
      <c r="C11" s="13">
        <v>2014</v>
      </c>
      <c r="D11" s="12">
        <v>0.4</v>
      </c>
      <c r="E11" s="12">
        <v>1030</v>
      </c>
      <c r="F11" s="12">
        <v>127</v>
      </c>
      <c r="G11" s="25">
        <f>535648.97/1000</f>
        <v>535.64897</v>
      </c>
    </row>
    <row r="12" spans="1:7" ht="16.5" thickBot="1">
      <c r="A12" s="10" t="s">
        <v>38</v>
      </c>
      <c r="B12" s="22" t="s">
        <v>13</v>
      </c>
      <c r="C12" s="13">
        <v>2014</v>
      </c>
      <c r="D12" s="12" t="s">
        <v>44</v>
      </c>
      <c r="E12" s="12">
        <v>230</v>
      </c>
      <c r="F12" s="12">
        <v>780</v>
      </c>
      <c r="G12" s="25">
        <f>386707.7/1000</f>
        <v>386.7077</v>
      </c>
    </row>
    <row r="13" spans="1:7" ht="15.75">
      <c r="A13" s="6" t="s">
        <v>15</v>
      </c>
      <c r="B13" s="7" t="s">
        <v>16</v>
      </c>
      <c r="C13" s="8"/>
      <c r="D13" s="9"/>
      <c r="E13" s="9"/>
      <c r="F13" s="9"/>
      <c r="G13" s="26"/>
    </row>
    <row r="14" spans="1:7" ht="15.75">
      <c r="A14" s="10" t="s">
        <v>40</v>
      </c>
      <c r="B14" s="14" t="s">
        <v>17</v>
      </c>
      <c r="C14" s="15">
        <v>2014</v>
      </c>
      <c r="D14" s="12">
        <v>0.4</v>
      </c>
      <c r="E14" s="16">
        <f>130+80</f>
        <v>210</v>
      </c>
      <c r="F14" s="16">
        <v>99</v>
      </c>
      <c r="G14" s="27">
        <f>(76653.77+52061.7)/1000</f>
        <v>128.71547</v>
      </c>
    </row>
    <row r="15" spans="1:7" ht="15.75">
      <c r="A15" s="10" t="s">
        <v>41</v>
      </c>
      <c r="B15" s="14" t="s">
        <v>18</v>
      </c>
      <c r="C15" s="15">
        <v>2014</v>
      </c>
      <c r="D15" s="12">
        <v>0.4</v>
      </c>
      <c r="E15" s="16">
        <v>443</v>
      </c>
      <c r="F15" s="16">
        <v>121</v>
      </c>
      <c r="G15" s="27">
        <f>(530432.73)/1000</f>
        <v>530.43273</v>
      </c>
    </row>
    <row r="16" spans="1:7" ht="15.75">
      <c r="A16" s="10" t="s">
        <v>42</v>
      </c>
      <c r="B16" s="14" t="s">
        <v>19</v>
      </c>
      <c r="C16" s="15">
        <v>2014</v>
      </c>
      <c r="D16" s="12">
        <v>0.4</v>
      </c>
      <c r="E16" s="16">
        <v>2335</v>
      </c>
      <c r="F16" s="16">
        <v>163</v>
      </c>
      <c r="G16" s="27">
        <f>(3444672.31)/1000</f>
        <v>3444.67231</v>
      </c>
    </row>
    <row r="17" spans="1:7" ht="15.75">
      <c r="A17" s="10" t="s">
        <v>43</v>
      </c>
      <c r="B17" s="14" t="s">
        <v>20</v>
      </c>
      <c r="C17" s="15">
        <v>2014</v>
      </c>
      <c r="D17" s="12">
        <v>0.4</v>
      </c>
      <c r="E17" s="16">
        <v>728</v>
      </c>
      <c r="F17" s="16">
        <v>226</v>
      </c>
      <c r="G17" s="27">
        <f>(788727.23)/1000</f>
        <v>788.72723</v>
      </c>
    </row>
    <row r="18" spans="1:7" ht="15.75">
      <c r="A18" s="10" t="s">
        <v>45</v>
      </c>
      <c r="B18" s="14" t="s">
        <v>21</v>
      </c>
      <c r="C18" s="15">
        <v>2014</v>
      </c>
      <c r="D18" s="16" t="s">
        <v>44</v>
      </c>
      <c r="E18" s="16">
        <v>32</v>
      </c>
      <c r="F18" s="16">
        <v>1560</v>
      </c>
      <c r="G18" s="27">
        <f>(39015.71)/1000</f>
        <v>39.01571</v>
      </c>
    </row>
    <row r="19" spans="1:7" ht="15.75">
      <c r="A19" s="10" t="s">
        <v>46</v>
      </c>
      <c r="B19" s="14" t="s">
        <v>22</v>
      </c>
      <c r="C19" s="15">
        <v>2014</v>
      </c>
      <c r="D19" s="16" t="s">
        <v>44</v>
      </c>
      <c r="E19" s="16">
        <v>500</v>
      </c>
      <c r="F19" s="16">
        <v>2340</v>
      </c>
      <c r="G19" s="27">
        <f>(677358.61)/1000</f>
        <v>677.35861</v>
      </c>
    </row>
    <row r="20" spans="1:7" ht="15.75">
      <c r="A20" s="10" t="s">
        <v>47</v>
      </c>
      <c r="B20" s="14" t="s">
        <v>23</v>
      </c>
      <c r="C20" s="15">
        <v>2014</v>
      </c>
      <c r="D20" s="12">
        <v>0.4</v>
      </c>
      <c r="E20" s="16">
        <v>72</v>
      </c>
      <c r="F20" s="16">
        <v>121</v>
      </c>
      <c r="G20" s="27">
        <f>(252445.36)/1000</f>
        <v>252.44536</v>
      </c>
    </row>
    <row r="21" spans="1:7" ht="15.75">
      <c r="A21" s="10" t="s">
        <v>48</v>
      </c>
      <c r="B21" s="14" t="s">
        <v>19</v>
      </c>
      <c r="C21" s="15">
        <v>2014</v>
      </c>
      <c r="D21" s="12">
        <v>0.4</v>
      </c>
      <c r="E21" s="16">
        <v>160</v>
      </c>
      <c r="F21" s="16">
        <v>163</v>
      </c>
      <c r="G21" s="27">
        <f>(491823.45)/1000</f>
        <v>491.82345000000004</v>
      </c>
    </row>
    <row r="22" spans="1:7" ht="16.5" thickBot="1">
      <c r="A22" s="10" t="s">
        <v>49</v>
      </c>
      <c r="B22" s="14" t="s">
        <v>20</v>
      </c>
      <c r="C22" s="15">
        <v>2014</v>
      </c>
      <c r="D22" s="12">
        <v>0.4</v>
      </c>
      <c r="E22" s="16">
        <v>344</v>
      </c>
      <c r="F22" s="16">
        <v>226</v>
      </c>
      <c r="G22" s="27">
        <f>(1234532.85)/1000</f>
        <v>1234.53285</v>
      </c>
    </row>
    <row r="23" spans="1:7" ht="16.5" thickBot="1">
      <c r="A23" s="6" t="s">
        <v>24</v>
      </c>
      <c r="B23" s="7" t="s">
        <v>25</v>
      </c>
      <c r="C23" s="8" t="s">
        <v>50</v>
      </c>
      <c r="D23" s="9" t="s">
        <v>50</v>
      </c>
      <c r="E23" s="9" t="s">
        <v>50</v>
      </c>
      <c r="F23" s="9" t="s">
        <v>50</v>
      </c>
      <c r="G23" s="26" t="s">
        <v>50</v>
      </c>
    </row>
    <row r="24" spans="1:7" ht="53.25" customHeight="1">
      <c r="A24" s="17" t="s">
        <v>26</v>
      </c>
      <c r="B24" s="7" t="s">
        <v>27</v>
      </c>
      <c r="C24" s="18"/>
      <c r="D24" s="19"/>
      <c r="E24" s="19"/>
      <c r="F24" s="19"/>
      <c r="G24" s="28"/>
    </row>
    <row r="25" spans="1:7" ht="15.75">
      <c r="A25" s="10" t="s">
        <v>28</v>
      </c>
      <c r="B25" s="11" t="s">
        <v>29</v>
      </c>
      <c r="C25" s="13">
        <v>2014</v>
      </c>
      <c r="D25" s="12" t="s">
        <v>51</v>
      </c>
      <c r="E25" s="12"/>
      <c r="F25" s="12">
        <v>200</v>
      </c>
      <c r="G25" s="25">
        <f>447033.36/1000</f>
        <v>447.03335999999996</v>
      </c>
    </row>
    <row r="26" spans="1:7" ht="16.5" thickBot="1">
      <c r="A26" s="10" t="s">
        <v>31</v>
      </c>
      <c r="B26" s="11" t="s">
        <v>30</v>
      </c>
      <c r="C26" s="13">
        <v>2014</v>
      </c>
      <c r="D26" s="12" t="s">
        <v>51</v>
      </c>
      <c r="E26" s="12"/>
      <c r="F26" s="12">
        <v>330</v>
      </c>
      <c r="G26" s="25">
        <f>3908615.72/1000</f>
        <v>3908.6157200000002</v>
      </c>
    </row>
    <row r="27" spans="1:7" ht="32.25" thickBot="1">
      <c r="A27" s="29" t="s">
        <v>32</v>
      </c>
      <c r="B27" s="30" t="s">
        <v>33</v>
      </c>
      <c r="C27" s="31" t="s">
        <v>50</v>
      </c>
      <c r="D27" s="32" t="s">
        <v>50</v>
      </c>
      <c r="E27" s="32" t="s">
        <v>50</v>
      </c>
      <c r="F27" s="32" t="s">
        <v>50</v>
      </c>
      <c r="G27" s="33" t="s">
        <v>50</v>
      </c>
    </row>
    <row r="28" spans="1:7" s="23" customFormat="1" ht="32.25" thickBot="1">
      <c r="A28" s="34" t="s">
        <v>34</v>
      </c>
      <c r="B28" s="35" t="s">
        <v>35</v>
      </c>
      <c r="C28" s="36" t="s">
        <v>50</v>
      </c>
      <c r="D28" s="37" t="s">
        <v>50</v>
      </c>
      <c r="E28" s="37" t="s">
        <v>50</v>
      </c>
      <c r="F28" s="37" t="s">
        <v>50</v>
      </c>
      <c r="G28" s="38" t="s">
        <v>50</v>
      </c>
    </row>
    <row r="29" spans="1:2" s="23" customFormat="1" ht="15.75">
      <c r="A29" s="24"/>
      <c r="B29" s="23" t="s">
        <v>36</v>
      </c>
    </row>
    <row r="31" ht="15.75">
      <c r="A31" s="20"/>
    </row>
    <row r="32" ht="15.75">
      <c r="A32" s="20"/>
    </row>
  </sheetData>
  <sheetProtection/>
  <mergeCells count="6">
    <mergeCell ref="A6:G6"/>
    <mergeCell ref="A1:G1"/>
    <mergeCell ref="A2:G2"/>
    <mergeCell ref="A3:G3"/>
    <mergeCell ref="A4:G4"/>
    <mergeCell ref="A5:G5"/>
  </mergeCells>
  <printOptions/>
  <pageMargins left="0.63" right="0.1968503937007874" top="0.23" bottom="0.1968503937007874" header="0" footer="0"/>
  <pageSetup horizontalDpi="600" verticalDpi="6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60"/>
  <sheetViews>
    <sheetView zoomScalePageLayoutView="0" workbookViewId="0" topLeftCell="A1">
      <selection activeCell="I54" sqref="I54"/>
    </sheetView>
  </sheetViews>
  <sheetFormatPr defaultColWidth="9.140625" defaultRowHeight="15"/>
  <cols>
    <col min="1" max="1" width="4.8515625" style="262" customWidth="1"/>
    <col min="2" max="2" width="32.57421875" style="262" customWidth="1"/>
    <col min="3" max="3" width="18.8515625" style="262" customWidth="1"/>
    <col min="4" max="4" width="18.140625" style="262" customWidth="1"/>
    <col min="5" max="5" width="19.140625" style="262" customWidth="1"/>
    <col min="6" max="6" width="17.28125" style="262" customWidth="1"/>
    <col min="7" max="7" width="9.140625" style="262" customWidth="1"/>
    <col min="8" max="8" width="14.57421875" style="262" bestFit="1" customWidth="1"/>
    <col min="9" max="16384" width="9.140625" style="262" customWidth="1"/>
  </cols>
  <sheetData>
    <row r="1" spans="1:6" s="260" customFormat="1" ht="12.75">
      <c r="A1" s="259"/>
      <c r="F1" s="260" t="s">
        <v>142</v>
      </c>
    </row>
    <row r="2" spans="1:7" s="260" customFormat="1" ht="31.5" customHeight="1">
      <c r="A2" s="369" t="s">
        <v>1</v>
      </c>
      <c r="B2" s="369"/>
      <c r="C2" s="369"/>
      <c r="D2" s="369"/>
      <c r="E2" s="369"/>
      <c r="F2" s="369"/>
      <c r="G2" s="261"/>
    </row>
    <row r="3" spans="1:6" ht="30.75" customHeight="1" hidden="1">
      <c r="A3" s="360" t="s">
        <v>89</v>
      </c>
      <c r="B3" s="360"/>
      <c r="C3" s="360"/>
      <c r="D3" s="360"/>
      <c r="E3" s="360"/>
      <c r="F3" s="360"/>
    </row>
    <row r="4" ht="15.75" hidden="1" thickBot="1"/>
    <row r="5" spans="1:6" s="260" customFormat="1" ht="18.75" customHeight="1" hidden="1">
      <c r="A5" s="361" t="s">
        <v>79</v>
      </c>
      <c r="B5" s="363" t="s">
        <v>80</v>
      </c>
      <c r="C5" s="363" t="s">
        <v>81</v>
      </c>
      <c r="D5" s="365"/>
      <c r="E5" s="363"/>
      <c r="F5" s="263"/>
    </row>
    <row r="6" spans="1:6" s="260" customFormat="1" ht="38.25" hidden="1">
      <c r="A6" s="362"/>
      <c r="B6" s="364"/>
      <c r="C6" s="366" t="s">
        <v>82</v>
      </c>
      <c r="D6" s="266" t="s">
        <v>83</v>
      </c>
      <c r="E6" s="367" t="s">
        <v>84</v>
      </c>
      <c r="F6" s="368" t="s">
        <v>85</v>
      </c>
    </row>
    <row r="7" spans="1:6" s="260" customFormat="1" ht="12.75" hidden="1">
      <c r="A7" s="362"/>
      <c r="B7" s="364"/>
      <c r="C7" s="366"/>
      <c r="D7" s="268" t="s">
        <v>86</v>
      </c>
      <c r="E7" s="367"/>
      <c r="F7" s="368"/>
    </row>
    <row r="8" spans="1:6" s="260" customFormat="1" ht="12.75" hidden="1">
      <c r="A8" s="264">
        <v>1</v>
      </c>
      <c r="B8" s="265">
        <v>2</v>
      </c>
      <c r="C8" s="265">
        <v>3</v>
      </c>
      <c r="D8" s="265">
        <v>4</v>
      </c>
      <c r="E8" s="265">
        <v>5</v>
      </c>
      <c r="F8" s="267">
        <v>6</v>
      </c>
    </row>
    <row r="9" spans="1:6" s="260" customFormat="1" ht="38.25" hidden="1">
      <c r="A9" s="264" t="s">
        <v>10</v>
      </c>
      <c r="B9" s="269" t="s">
        <v>87</v>
      </c>
      <c r="C9" s="270">
        <v>2080247.83</v>
      </c>
      <c r="D9" s="170">
        <v>288</v>
      </c>
      <c r="E9" s="170">
        <v>7038.8</v>
      </c>
      <c r="F9" s="271">
        <f>C9/D9</f>
        <v>7223.0827430555555</v>
      </c>
    </row>
    <row r="10" spans="1:6" s="260" customFormat="1" ht="26.25" hidden="1" thickBot="1">
      <c r="A10" s="272" t="s">
        <v>15</v>
      </c>
      <c r="B10" s="273" t="s">
        <v>88</v>
      </c>
      <c r="C10" s="274">
        <v>1040123.91</v>
      </c>
      <c r="D10" s="171">
        <v>288</v>
      </c>
      <c r="E10" s="171">
        <v>7038.8</v>
      </c>
      <c r="F10" s="275">
        <f>C10/D10</f>
        <v>3611.5413541666667</v>
      </c>
    </row>
    <row r="11" spans="1:6" s="260" customFormat="1" ht="12.75" hidden="1">
      <c r="A11" s="276" t="s">
        <v>141</v>
      </c>
      <c r="B11" s="175"/>
      <c r="C11" s="175"/>
      <c r="D11" s="175"/>
      <c r="E11" s="175"/>
      <c r="F11" s="277"/>
    </row>
    <row r="12" spans="1:6" s="260" customFormat="1" ht="58.5" customHeight="1" hidden="1" thickBot="1">
      <c r="A12" s="272" t="s">
        <v>24</v>
      </c>
      <c r="B12" s="273" t="s">
        <v>140</v>
      </c>
      <c r="C12" s="274">
        <v>346707.97</v>
      </c>
      <c r="D12" s="171">
        <v>288</v>
      </c>
      <c r="E12" s="274">
        <v>9106.66</v>
      </c>
      <c r="F12" s="275">
        <v>1203.85</v>
      </c>
    </row>
    <row r="13" ht="15" hidden="1"/>
    <row r="14" ht="15" hidden="1"/>
    <row r="15" spans="1:6" ht="32.25" customHeight="1" hidden="1">
      <c r="A15" s="359" t="s">
        <v>144</v>
      </c>
      <c r="B15" s="360"/>
      <c r="C15" s="360"/>
      <c r="D15" s="360"/>
      <c r="E15" s="360"/>
      <c r="F15" s="360"/>
    </row>
    <row r="16" ht="15.75" hidden="1" thickBot="1"/>
    <row r="17" spans="1:6" s="260" customFormat="1" ht="21.75" customHeight="1" hidden="1">
      <c r="A17" s="361" t="s">
        <v>79</v>
      </c>
      <c r="B17" s="363" t="s">
        <v>80</v>
      </c>
      <c r="C17" s="363" t="s">
        <v>81</v>
      </c>
      <c r="D17" s="365"/>
      <c r="E17" s="363"/>
      <c r="F17" s="263"/>
    </row>
    <row r="18" spans="1:6" s="260" customFormat="1" ht="41.25" customHeight="1" hidden="1">
      <c r="A18" s="362"/>
      <c r="B18" s="364"/>
      <c r="C18" s="366" t="s">
        <v>82</v>
      </c>
      <c r="D18" s="266" t="s">
        <v>83</v>
      </c>
      <c r="E18" s="367" t="s">
        <v>84</v>
      </c>
      <c r="F18" s="368" t="s">
        <v>85</v>
      </c>
    </row>
    <row r="19" spans="1:6" s="260" customFormat="1" ht="20.25" customHeight="1" hidden="1">
      <c r="A19" s="362"/>
      <c r="B19" s="364"/>
      <c r="C19" s="366"/>
      <c r="D19" s="268" t="s">
        <v>86</v>
      </c>
      <c r="E19" s="367"/>
      <c r="F19" s="368"/>
    </row>
    <row r="20" spans="1:6" s="260" customFormat="1" ht="12.75" hidden="1">
      <c r="A20" s="264">
        <v>1</v>
      </c>
      <c r="B20" s="265">
        <v>2</v>
      </c>
      <c r="C20" s="265">
        <v>3</v>
      </c>
      <c r="D20" s="265">
        <v>4</v>
      </c>
      <c r="E20" s="265">
        <v>5</v>
      </c>
      <c r="F20" s="267">
        <v>6</v>
      </c>
    </row>
    <row r="21" spans="1:6" s="260" customFormat="1" ht="38.25" hidden="1">
      <c r="A21" s="264" t="s">
        <v>10</v>
      </c>
      <c r="B21" s="269" t="s">
        <v>87</v>
      </c>
      <c r="C21" s="270">
        <v>1592053.1340000003</v>
      </c>
      <c r="D21" s="170">
        <v>283</v>
      </c>
      <c r="E21" s="170">
        <v>9909.74</v>
      </c>
      <c r="F21" s="271">
        <v>5625.629448763252</v>
      </c>
    </row>
    <row r="22" spans="1:6" s="260" customFormat="1" ht="26.25" hidden="1" thickBot="1">
      <c r="A22" s="272" t="s">
        <v>15</v>
      </c>
      <c r="B22" s="273" t="s">
        <v>88</v>
      </c>
      <c r="C22" s="274">
        <v>1061368.7560000003</v>
      </c>
      <c r="D22" s="171">
        <v>283</v>
      </c>
      <c r="E22" s="171">
        <v>9909.74</v>
      </c>
      <c r="F22" s="275">
        <v>3750.419632508835</v>
      </c>
    </row>
    <row r="23" spans="1:6" s="260" customFormat="1" ht="12.75" hidden="1">
      <c r="A23" s="276" t="s">
        <v>141</v>
      </c>
      <c r="B23" s="175"/>
      <c r="C23" s="175"/>
      <c r="D23" s="175"/>
      <c r="E23" s="175"/>
      <c r="F23" s="277"/>
    </row>
    <row r="24" spans="1:6" s="260" customFormat="1" ht="51.75" hidden="1" thickBot="1">
      <c r="A24" s="272" t="s">
        <v>24</v>
      </c>
      <c r="B24" s="273" t="s">
        <v>140</v>
      </c>
      <c r="C24" s="274"/>
      <c r="D24" s="171">
        <v>283</v>
      </c>
      <c r="E24" s="274">
        <f>E22</f>
        <v>9909.74</v>
      </c>
      <c r="F24" s="275"/>
    </row>
    <row r="25" spans="1:2" ht="15" hidden="1">
      <c r="A25" s="57"/>
      <c r="B25" s="57"/>
    </row>
    <row r="26" spans="1:2" ht="15">
      <c r="A26" s="57"/>
      <c r="B26" s="57"/>
    </row>
    <row r="27" spans="1:6" s="278" customFormat="1" ht="32.25" customHeight="1">
      <c r="A27" s="359" t="s">
        <v>157</v>
      </c>
      <c r="B27" s="360"/>
      <c r="C27" s="360"/>
      <c r="D27" s="360"/>
      <c r="E27" s="360"/>
      <c r="F27" s="360"/>
    </row>
    <row r="28" ht="15.75" thickBot="1"/>
    <row r="29" spans="1:6" s="260" customFormat="1" ht="19.5" customHeight="1">
      <c r="A29" s="361" t="s">
        <v>79</v>
      </c>
      <c r="B29" s="363" t="s">
        <v>80</v>
      </c>
      <c r="C29" s="363" t="s">
        <v>81</v>
      </c>
      <c r="D29" s="365"/>
      <c r="E29" s="363"/>
      <c r="F29" s="263"/>
    </row>
    <row r="30" spans="1:6" s="260" customFormat="1" ht="38.25">
      <c r="A30" s="362"/>
      <c r="B30" s="364"/>
      <c r="C30" s="366" t="s">
        <v>82</v>
      </c>
      <c r="D30" s="266" t="s">
        <v>83</v>
      </c>
      <c r="E30" s="367" t="s">
        <v>84</v>
      </c>
      <c r="F30" s="368" t="s">
        <v>85</v>
      </c>
    </row>
    <row r="31" spans="1:6" s="260" customFormat="1" ht="19.5" customHeight="1">
      <c r="A31" s="362"/>
      <c r="B31" s="364"/>
      <c r="C31" s="366"/>
      <c r="D31" s="268" t="s">
        <v>86</v>
      </c>
      <c r="E31" s="367"/>
      <c r="F31" s="368"/>
    </row>
    <row r="32" spans="1:6" s="260" customFormat="1" ht="12.75">
      <c r="A32" s="264">
        <v>1</v>
      </c>
      <c r="B32" s="265">
        <v>2</v>
      </c>
      <c r="C32" s="265">
        <v>3</v>
      </c>
      <c r="D32" s="265">
        <v>4</v>
      </c>
      <c r="E32" s="265">
        <v>5</v>
      </c>
      <c r="F32" s="267">
        <v>6</v>
      </c>
    </row>
    <row r="33" spans="1:8" s="260" customFormat="1" ht="38.25">
      <c r="A33" s="264" t="s">
        <v>10</v>
      </c>
      <c r="B33" s="269" t="s">
        <v>87</v>
      </c>
      <c r="C33" s="270">
        <v>1306337.4040800002</v>
      </c>
      <c r="D33" s="170">
        <v>302</v>
      </c>
      <c r="E33" s="170">
        <v>6864.5</v>
      </c>
      <c r="F33" s="271">
        <v>11304.7750662252</v>
      </c>
      <c r="H33" s="279"/>
    </row>
    <row r="34" spans="1:6" s="260" customFormat="1" ht="26.25" thickBot="1">
      <c r="A34" s="272" t="s">
        <v>15</v>
      </c>
      <c r="B34" s="273" t="s">
        <v>88</v>
      </c>
      <c r="C34" s="274">
        <v>870891.6027200002</v>
      </c>
      <c r="D34" s="171">
        <v>302</v>
      </c>
      <c r="E34" s="170">
        <v>6864.5</v>
      </c>
      <c r="F34" s="275">
        <v>12076.913874172185</v>
      </c>
    </row>
    <row r="35" spans="1:6" s="260" customFormat="1" ht="12.75">
      <c r="A35" s="276" t="s">
        <v>141</v>
      </c>
      <c r="B35" s="175"/>
      <c r="C35" s="175"/>
      <c r="D35" s="175"/>
      <c r="E35" s="175"/>
      <c r="F35" s="277"/>
    </row>
    <row r="36" spans="1:6" s="260" customFormat="1" ht="51.75" thickBot="1">
      <c r="A36" s="272" t="s">
        <v>24</v>
      </c>
      <c r="B36" s="273" t="s">
        <v>140</v>
      </c>
      <c r="C36" s="274"/>
      <c r="D36" s="171">
        <v>302</v>
      </c>
      <c r="E36" s="274">
        <v>6864.5</v>
      </c>
      <c r="F36" s="275"/>
    </row>
    <row r="39" spans="1:6" ht="31.5" customHeight="1">
      <c r="A39" s="359" t="s">
        <v>578</v>
      </c>
      <c r="B39" s="360"/>
      <c r="C39" s="360"/>
      <c r="D39" s="360"/>
      <c r="E39" s="360"/>
      <c r="F39" s="360"/>
    </row>
    <row r="40" ht="15.75" thickBot="1"/>
    <row r="41" spans="1:6" ht="15">
      <c r="A41" s="361" t="s">
        <v>79</v>
      </c>
      <c r="B41" s="363" t="s">
        <v>80</v>
      </c>
      <c r="C41" s="363" t="s">
        <v>81</v>
      </c>
      <c r="D41" s="365"/>
      <c r="E41" s="363"/>
      <c r="F41" s="263"/>
    </row>
    <row r="42" spans="1:6" ht="38.25">
      <c r="A42" s="362"/>
      <c r="B42" s="364"/>
      <c r="C42" s="366" t="s">
        <v>82</v>
      </c>
      <c r="D42" s="266" t="s">
        <v>83</v>
      </c>
      <c r="E42" s="367" t="s">
        <v>84</v>
      </c>
      <c r="F42" s="368" t="s">
        <v>85</v>
      </c>
    </row>
    <row r="43" spans="1:6" ht="15">
      <c r="A43" s="362"/>
      <c r="B43" s="364"/>
      <c r="C43" s="366"/>
      <c r="D43" s="268" t="s">
        <v>86</v>
      </c>
      <c r="E43" s="367"/>
      <c r="F43" s="368"/>
    </row>
    <row r="44" spans="1:6" ht="15">
      <c r="A44" s="264">
        <v>1</v>
      </c>
      <c r="B44" s="265">
        <v>2</v>
      </c>
      <c r="C44" s="265">
        <v>3</v>
      </c>
      <c r="D44" s="265">
        <v>4</v>
      </c>
      <c r="E44" s="265">
        <v>5</v>
      </c>
      <c r="F44" s="267">
        <v>6</v>
      </c>
    </row>
    <row r="45" spans="1:8" ht="38.25">
      <c r="A45" s="264" t="s">
        <v>10</v>
      </c>
      <c r="B45" s="269" t="s">
        <v>87</v>
      </c>
      <c r="C45" s="270">
        <v>1546275.2284799996</v>
      </c>
      <c r="D45" s="170">
        <v>262</v>
      </c>
      <c r="E45" s="180">
        <v>6923.9</v>
      </c>
      <c r="F45" s="271">
        <v>5901.813849160304</v>
      </c>
      <c r="H45" s="280"/>
    </row>
    <row r="46" spans="1:6" ht="26.25" thickBot="1">
      <c r="A46" s="272" t="s">
        <v>15</v>
      </c>
      <c r="B46" s="273" t="s">
        <v>88</v>
      </c>
      <c r="C46" s="274">
        <v>1030850.1523199998</v>
      </c>
      <c r="D46" s="171">
        <v>262</v>
      </c>
      <c r="E46" s="181">
        <v>6923.9</v>
      </c>
      <c r="F46" s="275">
        <v>3934.5425661068693</v>
      </c>
    </row>
    <row r="47" spans="1:6" ht="15">
      <c r="A47" s="276" t="s">
        <v>141</v>
      </c>
      <c r="B47" s="175"/>
      <c r="C47" s="175"/>
      <c r="D47" s="175"/>
      <c r="E47" s="182"/>
      <c r="F47" s="277"/>
    </row>
    <row r="48" spans="1:6" ht="51.75" thickBot="1">
      <c r="A48" s="272" t="s">
        <v>24</v>
      </c>
      <c r="B48" s="273" t="s">
        <v>140</v>
      </c>
      <c r="C48" s="274"/>
      <c r="D48" s="171">
        <v>262</v>
      </c>
      <c r="E48" s="183">
        <v>6923.9</v>
      </c>
      <c r="F48" s="275"/>
    </row>
    <row r="51" spans="1:6" ht="30.75" customHeight="1">
      <c r="A51" s="359" t="s">
        <v>665</v>
      </c>
      <c r="B51" s="360"/>
      <c r="C51" s="360"/>
      <c r="D51" s="360"/>
      <c r="E51" s="360"/>
      <c r="F51" s="360"/>
    </row>
    <row r="52" ht="15.75" thickBot="1"/>
    <row r="53" spans="1:6" ht="15">
      <c r="A53" s="361" t="s">
        <v>79</v>
      </c>
      <c r="B53" s="363" t="s">
        <v>80</v>
      </c>
      <c r="C53" s="363" t="s">
        <v>81</v>
      </c>
      <c r="D53" s="365"/>
      <c r="E53" s="363"/>
      <c r="F53" s="263"/>
    </row>
    <row r="54" spans="1:6" ht="38.25">
      <c r="A54" s="362"/>
      <c r="B54" s="364"/>
      <c r="C54" s="366" t="s">
        <v>82</v>
      </c>
      <c r="D54" s="266" t="s">
        <v>83</v>
      </c>
      <c r="E54" s="367" t="s">
        <v>84</v>
      </c>
      <c r="F54" s="368" t="s">
        <v>85</v>
      </c>
    </row>
    <row r="55" spans="1:6" ht="15">
      <c r="A55" s="362"/>
      <c r="B55" s="364"/>
      <c r="C55" s="366"/>
      <c r="D55" s="268" t="s">
        <v>86</v>
      </c>
      <c r="E55" s="367"/>
      <c r="F55" s="368"/>
    </row>
    <row r="56" spans="1:6" ht="15">
      <c r="A56" s="264">
        <v>1</v>
      </c>
      <c r="B56" s="265">
        <v>2</v>
      </c>
      <c r="C56" s="265">
        <v>3</v>
      </c>
      <c r="D56" s="265">
        <v>4</v>
      </c>
      <c r="E56" s="265">
        <v>5</v>
      </c>
      <c r="F56" s="267">
        <v>6</v>
      </c>
    </row>
    <row r="57" spans="1:6" ht="38.25">
      <c r="A57" s="264" t="s">
        <v>10</v>
      </c>
      <c r="B57" s="269" t="s">
        <v>87</v>
      </c>
      <c r="C57" s="270">
        <f>C45/(C45+C46)*'Приложение № 3'!C14*1000</f>
        <v>2017951.01544</v>
      </c>
      <c r="D57" s="170">
        <v>241</v>
      </c>
      <c r="E57" s="180">
        <f>SUM('Приложение №1 2020'!F9:F27)</f>
        <v>7056.78</v>
      </c>
      <c r="F57" s="271">
        <f>C57/D57</f>
        <v>8373.240727966804</v>
      </c>
    </row>
    <row r="58" spans="1:6" ht="26.25" thickBot="1">
      <c r="A58" s="272" t="s">
        <v>15</v>
      </c>
      <c r="B58" s="273" t="s">
        <v>88</v>
      </c>
      <c r="C58" s="274">
        <f>C46/(C45+C46)*'Приложение № 3'!C14*1000</f>
        <v>1345300.6769599998</v>
      </c>
      <c r="D58" s="171">
        <v>241</v>
      </c>
      <c r="E58" s="181">
        <f>E57</f>
        <v>7056.78</v>
      </c>
      <c r="F58" s="275">
        <f>C58/D58</f>
        <v>5582.160485311203</v>
      </c>
    </row>
    <row r="59" spans="1:6" ht="15">
      <c r="A59" s="276" t="s">
        <v>141</v>
      </c>
      <c r="B59" s="175"/>
      <c r="C59" s="175"/>
      <c r="D59" s="175"/>
      <c r="E59" s="182"/>
      <c r="F59" s="277"/>
    </row>
    <row r="60" spans="1:6" ht="51.75" thickBot="1">
      <c r="A60" s="272" t="s">
        <v>24</v>
      </c>
      <c r="B60" s="273" t="s">
        <v>140</v>
      </c>
      <c r="C60" s="274"/>
      <c r="D60" s="171">
        <v>241</v>
      </c>
      <c r="E60" s="183">
        <f>E58</f>
        <v>7056.78</v>
      </c>
      <c r="F60" s="275"/>
    </row>
  </sheetData>
  <sheetProtection/>
  <mergeCells count="36">
    <mergeCell ref="A39:F39"/>
    <mergeCell ref="A41:A43"/>
    <mergeCell ref="B41:B43"/>
    <mergeCell ref="C41:E41"/>
    <mergeCell ref="C42:C43"/>
    <mergeCell ref="E42:E43"/>
    <mergeCell ref="F42:F43"/>
    <mergeCell ref="A27:F27"/>
    <mergeCell ref="A29:A31"/>
    <mergeCell ref="B29:B31"/>
    <mergeCell ref="C29:E29"/>
    <mergeCell ref="C30:C31"/>
    <mergeCell ref="E30:E31"/>
    <mergeCell ref="F30:F31"/>
    <mergeCell ref="A15:F15"/>
    <mergeCell ref="A17:A19"/>
    <mergeCell ref="B17:B19"/>
    <mergeCell ref="C17:E17"/>
    <mergeCell ref="C18:C19"/>
    <mergeCell ref="E18:E19"/>
    <mergeCell ref="F18:F19"/>
    <mergeCell ref="A2:F2"/>
    <mergeCell ref="A3:F3"/>
    <mergeCell ref="A5:A7"/>
    <mergeCell ref="B5:B7"/>
    <mergeCell ref="C5:E5"/>
    <mergeCell ref="C6:C7"/>
    <mergeCell ref="E6:E7"/>
    <mergeCell ref="F6:F7"/>
    <mergeCell ref="A51:F51"/>
    <mergeCell ref="A53:A55"/>
    <mergeCell ref="B53:B55"/>
    <mergeCell ref="C53:E53"/>
    <mergeCell ref="C54:C55"/>
    <mergeCell ref="E54:E55"/>
    <mergeCell ref="F54:F55"/>
  </mergeCells>
  <printOptions/>
  <pageMargins left="0.7480314960629921" right="0.4724409448818898" top="0.79" bottom="0.62" header="0.35433070866141736" footer="0.5118110236220472"/>
  <pageSetup horizontalDpi="600" verticalDpi="6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6">
      <selection activeCell="J21" sqref="J21"/>
    </sheetView>
  </sheetViews>
  <sheetFormatPr defaultColWidth="9.140625" defaultRowHeight="15"/>
  <cols>
    <col min="1" max="1" width="6.140625" style="46" bestFit="1" customWidth="1"/>
    <col min="2" max="2" width="30.140625" style="47" customWidth="1"/>
    <col min="3" max="3" width="17.8515625" style="47" customWidth="1"/>
    <col min="4" max="4" width="18.140625" style="47" customWidth="1"/>
    <col min="5" max="5" width="18.00390625" style="47" customWidth="1"/>
    <col min="6" max="16384" width="9.140625" style="47" customWidth="1"/>
  </cols>
  <sheetData>
    <row r="1" ht="12.75">
      <c r="E1" s="47" t="s">
        <v>90</v>
      </c>
    </row>
    <row r="2" spans="1:7" ht="30" customHeight="1">
      <c r="A2" s="370" t="s">
        <v>1</v>
      </c>
      <c r="B2" s="370"/>
      <c r="C2" s="370"/>
      <c r="D2" s="370"/>
      <c r="E2" s="370"/>
      <c r="F2" s="20"/>
      <c r="G2" s="20"/>
    </row>
    <row r="4" spans="2:4" ht="15">
      <c r="B4" s="71"/>
      <c r="C4" s="72" t="s">
        <v>91</v>
      </c>
      <c r="D4" s="71"/>
    </row>
    <row r="5" spans="2:4" ht="15">
      <c r="B5" s="71"/>
      <c r="C5" s="72" t="s">
        <v>92</v>
      </c>
      <c r="D5" s="71"/>
    </row>
    <row r="6" spans="2:4" ht="15">
      <c r="B6" s="71"/>
      <c r="C6" s="72" t="s">
        <v>93</v>
      </c>
      <c r="D6" s="71"/>
    </row>
    <row r="7" spans="2:4" ht="15">
      <c r="B7" s="71"/>
      <c r="C7" s="72" t="s">
        <v>94</v>
      </c>
      <c r="D7" s="71"/>
    </row>
    <row r="8" spans="2:4" ht="15">
      <c r="B8" s="71"/>
      <c r="C8" s="82" t="s">
        <v>655</v>
      </c>
      <c r="D8" s="71"/>
    </row>
    <row r="9" ht="12.75">
      <c r="C9" s="48" t="s">
        <v>95</v>
      </c>
    </row>
    <row r="10" ht="12.75">
      <c r="C10" s="48" t="s">
        <v>96</v>
      </c>
    </row>
    <row r="11" ht="13.5" thickBot="1">
      <c r="E11" s="48" t="s">
        <v>97</v>
      </c>
    </row>
    <row r="12" spans="1:5" s="49" customFormat="1" ht="64.5" thickBot="1">
      <c r="A12" s="61" t="s">
        <v>98</v>
      </c>
      <c r="B12" s="62" t="s">
        <v>99</v>
      </c>
      <c r="C12" s="63" t="s">
        <v>100</v>
      </c>
      <c r="D12" s="64" t="s">
        <v>101</v>
      </c>
      <c r="E12" s="65" t="s">
        <v>102</v>
      </c>
    </row>
    <row r="13" spans="1:5" ht="13.5" thickBot="1">
      <c r="A13" s="66">
        <v>1</v>
      </c>
      <c r="B13" s="67">
        <v>2</v>
      </c>
      <c r="C13" s="68">
        <v>3</v>
      </c>
      <c r="D13" s="69">
        <v>4</v>
      </c>
      <c r="E13" s="70">
        <v>5</v>
      </c>
    </row>
    <row r="14" spans="1:8" ht="38.25">
      <c r="A14" s="58" t="s">
        <v>10</v>
      </c>
      <c r="B14" s="59" t="s">
        <v>103</v>
      </c>
      <c r="C14" s="60">
        <f>+C16+C17+C18+C19+C28+C15</f>
        <v>3363.2516924</v>
      </c>
      <c r="D14" s="60">
        <v>2577.1253807999997</v>
      </c>
      <c r="E14" s="60">
        <v>2177.2290068</v>
      </c>
      <c r="G14" s="231"/>
      <c r="H14" s="231"/>
    </row>
    <row r="15" spans="1:5" ht="12.75">
      <c r="A15" s="50" t="s">
        <v>104</v>
      </c>
      <c r="B15" s="51" t="s">
        <v>105</v>
      </c>
      <c r="C15" s="52">
        <f>(Себестоимость_2020!E20+Себестоимость_2020!E21+Себестоимость_2020!E23+Себестоимость_2020!E26+Себестоимость_2020!E27+Себестоимость_2020!E37+Себестоимость_2020!E41+Себестоимость_2020!E49+Себестоимость_2020!E54+Себестоимость_2020!E55+Себестоимость_2020!E56+Себестоимость_2020!E57+Себестоимость_2020!E60)/1000</f>
        <v>384.51358</v>
      </c>
      <c r="D15" s="221">
        <v>7.444520000000001</v>
      </c>
      <c r="E15" s="52">
        <v>18.814220000000002</v>
      </c>
    </row>
    <row r="16" spans="1:5" ht="12.75">
      <c r="A16" s="50" t="s">
        <v>106</v>
      </c>
      <c r="B16" s="51" t="s">
        <v>107</v>
      </c>
      <c r="C16" s="52">
        <f>Себестоимость_2020!E61/1000</f>
        <v>16.420060000000003</v>
      </c>
      <c r="D16" s="52">
        <v>18.448240000000002</v>
      </c>
      <c r="E16" s="52">
        <v>18.16302</v>
      </c>
    </row>
    <row r="17" spans="1:5" ht="12.75">
      <c r="A17" s="50" t="s">
        <v>108</v>
      </c>
      <c r="B17" s="51" t="s">
        <v>109</v>
      </c>
      <c r="C17" s="52">
        <f>ФОТ_2020!U14/1000</f>
        <v>1904.3256000000001</v>
      </c>
      <c r="D17" s="52">
        <v>1866.43645</v>
      </c>
      <c r="E17" s="52">
        <v>1407.73045</v>
      </c>
    </row>
    <row r="18" spans="1:5" ht="12.75">
      <c r="A18" s="50" t="s">
        <v>110</v>
      </c>
      <c r="B18" s="51" t="s">
        <v>111</v>
      </c>
      <c r="C18" s="52">
        <f>C17*0.304</f>
        <v>578.9149824</v>
      </c>
      <c r="D18" s="52">
        <v>567.3966808</v>
      </c>
      <c r="E18" s="52">
        <v>427.95005679999997</v>
      </c>
    </row>
    <row r="19" spans="1:5" ht="25.5">
      <c r="A19" s="50" t="s">
        <v>112</v>
      </c>
      <c r="B19" s="51" t="s">
        <v>113</v>
      </c>
      <c r="C19" s="52">
        <f>SUM(C20:C22)</f>
        <v>479.07747000000006</v>
      </c>
      <c r="D19" s="52">
        <v>117.39949</v>
      </c>
      <c r="E19" s="52">
        <v>304.57126</v>
      </c>
    </row>
    <row r="20" spans="1:5" ht="25.5">
      <c r="A20" s="50" t="s">
        <v>114</v>
      </c>
      <c r="B20" s="51" t="s">
        <v>115</v>
      </c>
      <c r="C20" s="52">
        <f>(Себестоимость_2020!E14+Себестоимость_2020!E16+Себестоимость_2020!E17+Себестоимость_2020!E18+Себестоимость_2020!E19+Себестоимость_2020!E28+Себестоимость_2020!E29+Себестоимость_2020!E35+Себестоимость_2020!E40+Себестоимость_2020!E42+Себестоимость_2020!E44+Себестоимость_2020!E45+Себестоимость_2020!E46+Себестоимость_2020!E47+Себестоимость_2020!E50+Себестоимость_2020!E51+Себестоимость_2020!E59)/1000</f>
        <v>339.97158</v>
      </c>
      <c r="D20" s="52">
        <v>12.134509999999999</v>
      </c>
      <c r="E20" s="52">
        <v>55.45414000000001</v>
      </c>
    </row>
    <row r="21" spans="1:5" ht="38.25">
      <c r="A21" s="50" t="s">
        <v>116</v>
      </c>
      <c r="B21" s="51" t="s">
        <v>117</v>
      </c>
      <c r="C21" s="52">
        <f>(Себестоимость_2020!E30+Себестоимость_2020!E31+Себестоимость_2020!E32+Себестоимость_2020!E38)/1000</f>
        <v>5.883460000000001</v>
      </c>
      <c r="D21" s="52">
        <v>5.695189999999999</v>
      </c>
      <c r="E21" s="52">
        <v>169.36566</v>
      </c>
    </row>
    <row r="22" spans="1:5" ht="38.25">
      <c r="A22" s="50" t="s">
        <v>118</v>
      </c>
      <c r="B22" s="51" t="s">
        <v>119</v>
      </c>
      <c r="C22" s="52">
        <f>SUM(C23:C27)</f>
        <v>133.22243</v>
      </c>
      <c r="D22" s="52">
        <v>99.56979</v>
      </c>
      <c r="E22" s="52">
        <v>79.75146</v>
      </c>
    </row>
    <row r="23" spans="1:5" ht="12.75">
      <c r="A23" s="50" t="s">
        <v>120</v>
      </c>
      <c r="B23" s="51" t="s">
        <v>121</v>
      </c>
      <c r="C23" s="52">
        <f>Себестоимость_2020!E48/1000</f>
        <v>3.42914</v>
      </c>
      <c r="D23" s="52">
        <v>1.16058</v>
      </c>
      <c r="E23" s="52">
        <v>1.76288</v>
      </c>
    </row>
    <row r="24" spans="1:5" ht="25.5">
      <c r="A24" s="50" t="s">
        <v>122</v>
      </c>
      <c r="B24" s="51" t="s">
        <v>123</v>
      </c>
      <c r="C24" s="52">
        <f>Себестоимость_2020!E33/1000</f>
        <v>0.98324</v>
      </c>
      <c r="D24" s="52">
        <v>0.87038</v>
      </c>
      <c r="E24" s="52">
        <v>8.774569999999999</v>
      </c>
    </row>
    <row r="25" spans="1:5" ht="51">
      <c r="A25" s="50" t="s">
        <v>124</v>
      </c>
      <c r="B25" s="51" t="s">
        <v>125</v>
      </c>
      <c r="C25" s="52">
        <f>(Себестоимость_2020!E15+Себестоимость_2020!E22+Себестоимость_2020!E24+Себестоимость_2020!E25+Себестоимость_2020!E34+Себестоимость_2020!E39+Себестоимость_2020!E43+Себестоимость_2020!E58+Себестоимость_2020!E52)/1000</f>
        <v>73.88461</v>
      </c>
      <c r="D25" s="52">
        <v>77.8597</v>
      </c>
      <c r="E25" s="52">
        <v>51.719759999999994</v>
      </c>
    </row>
    <row r="26" spans="1:5" ht="12.75">
      <c r="A26" s="50" t="s">
        <v>126</v>
      </c>
      <c r="B26" s="51" t="s">
        <v>127</v>
      </c>
      <c r="C26" s="52"/>
      <c r="D26" s="52"/>
      <c r="E26" s="52">
        <v>0.0030099999999999997</v>
      </c>
    </row>
    <row r="27" spans="1:5" ht="38.25">
      <c r="A27" s="50" t="s">
        <v>128</v>
      </c>
      <c r="B27" s="51" t="s">
        <v>129</v>
      </c>
      <c r="C27" s="52">
        <f>Себестоимость_2020!E13/1000</f>
        <v>54.92544</v>
      </c>
      <c r="D27" s="52">
        <v>19.67913</v>
      </c>
      <c r="E27" s="52">
        <v>17.49124</v>
      </c>
    </row>
    <row r="28" spans="1:5" ht="25.5">
      <c r="A28" s="50" t="s">
        <v>130</v>
      </c>
      <c r="B28" s="51" t="s">
        <v>131</v>
      </c>
      <c r="C28" s="52">
        <v>0</v>
      </c>
      <c r="D28" s="52">
        <v>0</v>
      </c>
      <c r="E28" s="52">
        <v>0</v>
      </c>
    </row>
    <row r="29" spans="1:5" ht="12.75">
      <c r="A29" s="50" t="s">
        <v>132</v>
      </c>
      <c r="B29" s="51" t="s">
        <v>133</v>
      </c>
      <c r="C29" s="52">
        <v>0</v>
      </c>
      <c r="D29" s="52">
        <v>0</v>
      </c>
      <c r="E29" s="52">
        <v>0</v>
      </c>
    </row>
    <row r="30" spans="1:5" ht="12.75">
      <c r="A30" s="50" t="s">
        <v>134</v>
      </c>
      <c r="B30" s="51" t="s">
        <v>135</v>
      </c>
      <c r="C30" s="52">
        <v>0</v>
      </c>
      <c r="D30" s="52">
        <v>0</v>
      </c>
      <c r="E30" s="52">
        <v>0</v>
      </c>
    </row>
    <row r="31" spans="1:5" ht="12.75">
      <c r="A31" s="50" t="s">
        <v>136</v>
      </c>
      <c r="B31" s="51" t="s">
        <v>137</v>
      </c>
      <c r="C31" s="52">
        <v>0</v>
      </c>
      <c r="D31" s="52">
        <v>0</v>
      </c>
      <c r="E31" s="52">
        <v>0</v>
      </c>
    </row>
    <row r="32" spans="1:5" ht="39" thickBot="1">
      <c r="A32" s="53" t="s">
        <v>138</v>
      </c>
      <c r="B32" s="54" t="s">
        <v>139</v>
      </c>
      <c r="C32" s="55">
        <v>0</v>
      </c>
      <c r="D32" s="55">
        <v>0</v>
      </c>
      <c r="E32" s="55">
        <v>0</v>
      </c>
    </row>
    <row r="33" ht="12.75">
      <c r="B33" s="56"/>
    </row>
    <row r="34" ht="12.75">
      <c r="B34" s="56"/>
    </row>
  </sheetData>
  <sheetProtection/>
  <mergeCells count="1">
    <mergeCell ref="A2:E2"/>
  </mergeCells>
  <printOptions/>
  <pageMargins left="0.7" right="0.35" top="0.37" bottom="0.39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0">
      <selection activeCell="K40" sqref="K40"/>
    </sheetView>
  </sheetViews>
  <sheetFormatPr defaultColWidth="9.140625" defaultRowHeight="15" outlineLevelRow="1"/>
  <cols>
    <col min="1" max="1" width="16.00390625" style="0" customWidth="1"/>
    <col min="2" max="2" width="14.00390625" style="0" customWidth="1"/>
    <col min="3" max="7" width="16.00390625" style="0" customWidth="1"/>
    <col min="8" max="8" width="1.421875" style="0" customWidth="1"/>
    <col min="9" max="9" width="14.57421875" style="0" customWidth="1"/>
  </cols>
  <sheetData>
    <row r="1" spans="1:8" ht="12.75" customHeight="1">
      <c r="A1" s="381" t="s">
        <v>162</v>
      </c>
      <c r="B1" s="381"/>
      <c r="C1" s="381"/>
      <c r="D1" s="381"/>
      <c r="E1" s="381"/>
      <c r="F1" s="381"/>
      <c r="G1" s="381"/>
      <c r="H1" s="381"/>
    </row>
    <row r="2" spans="1:8" ht="15.75" customHeight="1">
      <c r="A2" s="382" t="s">
        <v>601</v>
      </c>
      <c r="B2" s="382"/>
      <c r="C2" s="382"/>
      <c r="D2" s="382"/>
      <c r="E2" s="382"/>
      <c r="F2" s="382"/>
      <c r="G2" s="382"/>
      <c r="H2" s="382"/>
    </row>
    <row r="3" ht="1.5" customHeight="1"/>
    <row r="4" spans="1:8" ht="11.25" customHeight="1">
      <c r="A4" s="185" t="s">
        <v>163</v>
      </c>
      <c r="B4" s="383" t="s">
        <v>164</v>
      </c>
      <c r="C4" s="383"/>
      <c r="D4" s="383"/>
      <c r="E4" s="383"/>
      <c r="F4" s="383"/>
      <c r="G4" s="383"/>
      <c r="H4" s="383"/>
    </row>
    <row r="5" ht="1.5" customHeight="1"/>
    <row r="6" spans="1:8" ht="11.25" customHeight="1">
      <c r="A6" s="185" t="s">
        <v>165</v>
      </c>
      <c r="B6" s="383" t="s">
        <v>166</v>
      </c>
      <c r="C6" s="383"/>
      <c r="D6" s="383"/>
      <c r="E6" s="383"/>
      <c r="F6" s="383"/>
      <c r="G6" s="383"/>
      <c r="H6" s="383"/>
    </row>
    <row r="7" ht="1.5" customHeight="1"/>
    <row r="8" spans="1:9" ht="12.75" customHeight="1">
      <c r="A8" s="384" t="s">
        <v>167</v>
      </c>
      <c r="B8" s="384"/>
      <c r="C8" s="385" t="s">
        <v>168</v>
      </c>
      <c r="D8" s="385"/>
      <c r="E8" s="385" t="s">
        <v>169</v>
      </c>
      <c r="F8" s="385"/>
      <c r="G8" s="385" t="s">
        <v>170</v>
      </c>
      <c r="H8" s="385"/>
      <c r="I8" s="385"/>
    </row>
    <row r="9" spans="1:9" ht="11.25" customHeight="1">
      <c r="A9" s="377" t="s">
        <v>171</v>
      </c>
      <c r="B9" s="377"/>
      <c r="C9" s="373" t="s">
        <v>172</v>
      </c>
      <c r="D9" s="373" t="s">
        <v>173</v>
      </c>
      <c r="E9" s="373" t="s">
        <v>172</v>
      </c>
      <c r="F9" s="373" t="s">
        <v>173</v>
      </c>
      <c r="G9" s="373" t="s">
        <v>172</v>
      </c>
      <c r="H9" s="373" t="s">
        <v>173</v>
      </c>
      <c r="I9" s="373"/>
    </row>
    <row r="10" spans="1:9" ht="11.25" customHeight="1">
      <c r="A10" s="378"/>
      <c r="B10" s="379"/>
      <c r="C10" s="380"/>
      <c r="D10" s="380"/>
      <c r="E10" s="380"/>
      <c r="F10" s="380"/>
      <c r="G10" s="380"/>
      <c r="H10" s="374"/>
      <c r="I10" s="375"/>
    </row>
    <row r="11" spans="1:9" ht="12.75" customHeight="1">
      <c r="A11" s="376" t="s">
        <v>602</v>
      </c>
      <c r="B11" s="376"/>
      <c r="C11" s="186"/>
      <c r="D11" s="186"/>
      <c r="E11" s="187">
        <v>2035679.55</v>
      </c>
      <c r="F11" s="187">
        <v>2035679.55</v>
      </c>
      <c r="G11" s="186"/>
      <c r="H11" s="188"/>
      <c r="I11" s="189"/>
    </row>
    <row r="12" spans="1:9" ht="12" customHeight="1" outlineLevel="1">
      <c r="A12" s="371" t="s">
        <v>174</v>
      </c>
      <c r="B12" s="371"/>
      <c r="C12" s="190"/>
      <c r="D12" s="190"/>
      <c r="E12" s="190"/>
      <c r="F12" s="191">
        <v>2035679.55</v>
      </c>
      <c r="G12" s="190"/>
      <c r="H12" s="192"/>
      <c r="I12" s="193"/>
    </row>
    <row r="13" spans="1:9" ht="12" customHeight="1" outlineLevel="1">
      <c r="A13" s="371" t="s">
        <v>175</v>
      </c>
      <c r="B13" s="371"/>
      <c r="C13" s="190"/>
      <c r="D13" s="190"/>
      <c r="E13" s="235">
        <v>17491.24</v>
      </c>
      <c r="F13" s="190"/>
      <c r="G13" s="190"/>
      <c r="H13" s="192"/>
      <c r="I13" s="193"/>
    </row>
    <row r="14" spans="1:9" ht="12" customHeight="1" outlineLevel="1">
      <c r="A14" s="371" t="s">
        <v>603</v>
      </c>
      <c r="B14" s="371"/>
      <c r="C14" s="190"/>
      <c r="D14" s="190"/>
      <c r="E14" s="236">
        <v>3.01</v>
      </c>
      <c r="F14" s="190"/>
      <c r="G14" s="190"/>
      <c r="H14" s="192"/>
      <c r="I14" s="193"/>
    </row>
    <row r="15" spans="1:9" ht="12" customHeight="1" outlineLevel="1">
      <c r="A15" s="371" t="s">
        <v>176</v>
      </c>
      <c r="B15" s="371"/>
      <c r="C15" s="190"/>
      <c r="D15" s="190"/>
      <c r="E15" s="236">
        <v>201.47</v>
      </c>
      <c r="F15" s="190"/>
      <c r="G15" s="190"/>
      <c r="H15" s="192"/>
      <c r="I15" s="193"/>
    </row>
    <row r="16" spans="1:9" ht="23.25" customHeight="1" outlineLevel="1">
      <c r="A16" s="371" t="s">
        <v>252</v>
      </c>
      <c r="B16" s="371"/>
      <c r="C16" s="190"/>
      <c r="D16" s="190"/>
      <c r="E16" s="191">
        <v>9347.6</v>
      </c>
      <c r="F16" s="190"/>
      <c r="G16" s="190"/>
      <c r="H16" s="192"/>
      <c r="I16" s="193"/>
    </row>
    <row r="17" spans="1:9" ht="12" customHeight="1" outlineLevel="1">
      <c r="A17" s="371" t="s">
        <v>604</v>
      </c>
      <c r="B17" s="371"/>
      <c r="C17" s="190"/>
      <c r="D17" s="190"/>
      <c r="E17" s="235">
        <v>169365.66</v>
      </c>
      <c r="F17" s="190"/>
      <c r="G17" s="190"/>
      <c r="H17" s="192"/>
      <c r="I17" s="193"/>
    </row>
    <row r="18" spans="1:9" ht="12" customHeight="1" outlineLevel="1">
      <c r="A18" s="371" t="s">
        <v>177</v>
      </c>
      <c r="B18" s="371"/>
      <c r="C18" s="190"/>
      <c r="D18" s="190"/>
      <c r="E18" s="235">
        <v>35519.83</v>
      </c>
      <c r="F18" s="190"/>
      <c r="G18" s="190"/>
      <c r="H18" s="192"/>
      <c r="I18" s="193"/>
    </row>
    <row r="19" spans="1:9" ht="12" customHeight="1" outlineLevel="1">
      <c r="A19" s="371" t="s">
        <v>178</v>
      </c>
      <c r="B19" s="371"/>
      <c r="C19" s="190"/>
      <c r="D19" s="190"/>
      <c r="E19" s="235">
        <v>1853.58</v>
      </c>
      <c r="F19" s="190"/>
      <c r="G19" s="190"/>
      <c r="H19" s="192"/>
      <c r="I19" s="193"/>
    </row>
    <row r="20" spans="1:9" ht="12" customHeight="1" outlineLevel="1">
      <c r="A20" s="371" t="s">
        <v>179</v>
      </c>
      <c r="B20" s="371"/>
      <c r="C20" s="190"/>
      <c r="D20" s="190"/>
      <c r="E20" s="235">
        <v>2418.22</v>
      </c>
      <c r="F20" s="190"/>
      <c r="G20" s="190"/>
      <c r="H20" s="192"/>
      <c r="I20" s="193"/>
    </row>
    <row r="21" spans="1:9" ht="23.25" customHeight="1" outlineLevel="1">
      <c r="A21" s="371" t="s">
        <v>180</v>
      </c>
      <c r="B21" s="371"/>
      <c r="C21" s="190"/>
      <c r="D21" s="190"/>
      <c r="E21" s="236">
        <v>991.59</v>
      </c>
      <c r="F21" s="190"/>
      <c r="G21" s="190"/>
      <c r="H21" s="192"/>
      <c r="I21" s="193"/>
    </row>
    <row r="22" spans="1:9" ht="23.25" customHeight="1" outlineLevel="1">
      <c r="A22" s="371" t="s">
        <v>181</v>
      </c>
      <c r="B22" s="371"/>
      <c r="C22" s="190"/>
      <c r="D22" s="190"/>
      <c r="E22" s="235">
        <v>11739.95</v>
      </c>
      <c r="F22" s="190"/>
      <c r="G22" s="190"/>
      <c r="H22" s="192"/>
      <c r="I22" s="193"/>
    </row>
    <row r="23" spans="1:9" ht="12" customHeight="1" outlineLevel="1">
      <c r="A23" s="371" t="s">
        <v>182</v>
      </c>
      <c r="B23" s="371"/>
      <c r="C23" s="190"/>
      <c r="D23" s="190"/>
      <c r="E23" s="235">
        <v>4438.45</v>
      </c>
      <c r="F23" s="190"/>
      <c r="G23" s="190"/>
      <c r="H23" s="192"/>
      <c r="I23" s="193"/>
    </row>
    <row r="24" spans="1:9" ht="12" customHeight="1" outlineLevel="1">
      <c r="A24" s="371" t="s">
        <v>183</v>
      </c>
      <c r="B24" s="371"/>
      <c r="C24" s="190"/>
      <c r="D24" s="190"/>
      <c r="E24" s="191">
        <v>726958.45</v>
      </c>
      <c r="F24" s="190"/>
      <c r="G24" s="190"/>
      <c r="H24" s="192"/>
      <c r="I24" s="193"/>
    </row>
    <row r="25" spans="1:9" ht="12" customHeight="1" outlineLevel="1">
      <c r="A25" s="371" t="s">
        <v>605</v>
      </c>
      <c r="B25" s="371"/>
      <c r="C25" s="190"/>
      <c r="D25" s="190"/>
      <c r="E25" s="235">
        <v>7782.98</v>
      </c>
      <c r="F25" s="190"/>
      <c r="G25" s="190"/>
      <c r="H25" s="192"/>
      <c r="I25" s="193"/>
    </row>
    <row r="26" spans="1:9" ht="34.5" customHeight="1" outlineLevel="1">
      <c r="A26" s="371" t="s">
        <v>184</v>
      </c>
      <c r="B26" s="371"/>
      <c r="C26" s="190"/>
      <c r="D26" s="190"/>
      <c r="E26" s="236">
        <v>116.14</v>
      </c>
      <c r="F26" s="190"/>
      <c r="G26" s="190"/>
      <c r="H26" s="192"/>
      <c r="I26" s="193"/>
    </row>
    <row r="27" spans="1:9" ht="12" customHeight="1" outlineLevel="1">
      <c r="A27" s="371" t="s">
        <v>185</v>
      </c>
      <c r="B27" s="371"/>
      <c r="C27" s="190"/>
      <c r="D27" s="190"/>
      <c r="E27" s="235">
        <v>2322.76</v>
      </c>
      <c r="F27" s="190"/>
      <c r="G27" s="190"/>
      <c r="H27" s="192"/>
      <c r="I27" s="193"/>
    </row>
    <row r="28" spans="1:9" ht="12" customHeight="1" outlineLevel="1">
      <c r="A28" s="371" t="s">
        <v>186</v>
      </c>
      <c r="B28" s="371"/>
      <c r="C28" s="190"/>
      <c r="D28" s="190"/>
      <c r="E28" s="194">
        <v>36.94</v>
      </c>
      <c r="F28" s="190"/>
      <c r="G28" s="190"/>
      <c r="H28" s="192"/>
      <c r="I28" s="193"/>
    </row>
    <row r="29" spans="1:9" ht="12" customHeight="1" outlineLevel="1">
      <c r="A29" s="371" t="s">
        <v>187</v>
      </c>
      <c r="B29" s="371"/>
      <c r="C29" s="190"/>
      <c r="D29" s="190"/>
      <c r="E29" s="191">
        <v>98324.18</v>
      </c>
      <c r="F29" s="190"/>
      <c r="G29" s="190"/>
      <c r="H29" s="192"/>
      <c r="I29" s="193"/>
    </row>
    <row r="30" spans="1:9" ht="34.5" customHeight="1" outlineLevel="1">
      <c r="A30" s="371" t="s">
        <v>188</v>
      </c>
      <c r="B30" s="371"/>
      <c r="C30" s="190"/>
      <c r="D30" s="190"/>
      <c r="E30" s="194">
        <v>47.3</v>
      </c>
      <c r="F30" s="190"/>
      <c r="G30" s="190"/>
      <c r="H30" s="192"/>
      <c r="I30" s="193"/>
    </row>
    <row r="31" spans="1:9" ht="12" customHeight="1" outlineLevel="1">
      <c r="A31" s="371" t="s">
        <v>189</v>
      </c>
      <c r="B31" s="371"/>
      <c r="C31" s="190"/>
      <c r="D31" s="190"/>
      <c r="E31" s="235">
        <v>3759.87</v>
      </c>
      <c r="F31" s="190"/>
      <c r="G31" s="190"/>
      <c r="H31" s="192"/>
      <c r="I31" s="193"/>
    </row>
    <row r="32" spans="1:9" ht="12" customHeight="1" outlineLevel="1">
      <c r="A32" s="371" t="s">
        <v>190</v>
      </c>
      <c r="B32" s="371"/>
      <c r="C32" s="190"/>
      <c r="D32" s="190"/>
      <c r="E32" s="235">
        <v>28901.03</v>
      </c>
      <c r="F32" s="190"/>
      <c r="G32" s="190"/>
      <c r="H32" s="192"/>
      <c r="I32" s="193"/>
    </row>
    <row r="33" spans="1:9" ht="12" customHeight="1" outlineLevel="1">
      <c r="A33" s="371" t="s">
        <v>191</v>
      </c>
      <c r="B33" s="371"/>
      <c r="C33" s="190"/>
      <c r="D33" s="190"/>
      <c r="E33" s="191">
        <v>9781.79</v>
      </c>
      <c r="F33" s="190"/>
      <c r="G33" s="190"/>
      <c r="H33" s="192"/>
      <c r="I33" s="193"/>
    </row>
    <row r="34" spans="1:9" ht="34.5" customHeight="1" outlineLevel="1">
      <c r="A34" s="371" t="s">
        <v>192</v>
      </c>
      <c r="B34" s="371"/>
      <c r="C34" s="190"/>
      <c r="D34" s="190"/>
      <c r="E34" s="236">
        <v>240.4</v>
      </c>
      <c r="F34" s="190"/>
      <c r="G34" s="190"/>
      <c r="H34" s="192"/>
      <c r="I34" s="193"/>
    </row>
    <row r="35" spans="1:9" ht="12" customHeight="1" outlineLevel="1">
      <c r="A35" s="371" t="s">
        <v>264</v>
      </c>
      <c r="B35" s="371"/>
      <c r="C35" s="190"/>
      <c r="D35" s="190"/>
      <c r="E35" s="235">
        <v>1762.88</v>
      </c>
      <c r="F35" s="190"/>
      <c r="G35" s="190"/>
      <c r="H35" s="192"/>
      <c r="I35" s="193"/>
    </row>
    <row r="36" spans="1:9" ht="12" customHeight="1" outlineLevel="1">
      <c r="A36" s="371" t="s">
        <v>193</v>
      </c>
      <c r="B36" s="371"/>
      <c r="C36" s="190"/>
      <c r="D36" s="190"/>
      <c r="E36" s="191">
        <v>1285.23</v>
      </c>
      <c r="F36" s="190"/>
      <c r="G36" s="190"/>
      <c r="H36" s="192"/>
      <c r="I36" s="193"/>
    </row>
    <row r="37" spans="1:9" ht="12" customHeight="1" outlineLevel="1">
      <c r="A37" s="371" t="s">
        <v>194</v>
      </c>
      <c r="B37" s="371"/>
      <c r="C37" s="190"/>
      <c r="D37" s="190"/>
      <c r="E37" s="194">
        <v>50.7</v>
      </c>
      <c r="F37" s="190"/>
      <c r="G37" s="190"/>
      <c r="H37" s="192"/>
      <c r="I37" s="193"/>
    </row>
    <row r="38" spans="1:9" ht="23.25" customHeight="1" outlineLevel="1">
      <c r="A38" s="371" t="s">
        <v>195</v>
      </c>
      <c r="B38" s="371"/>
      <c r="C38" s="190"/>
      <c r="D38" s="190"/>
      <c r="E38" s="191">
        <v>1015.2</v>
      </c>
      <c r="F38" s="190"/>
      <c r="G38" s="190"/>
      <c r="H38" s="192"/>
      <c r="I38" s="193"/>
    </row>
    <row r="39" spans="1:9" ht="12" customHeight="1" outlineLevel="1">
      <c r="A39" s="371" t="s">
        <v>196</v>
      </c>
      <c r="B39" s="371"/>
      <c r="C39" s="190"/>
      <c r="D39" s="190"/>
      <c r="E39" s="191">
        <v>211790.95</v>
      </c>
      <c r="F39" s="190"/>
      <c r="G39" s="190"/>
      <c r="H39" s="192"/>
      <c r="I39" s="193"/>
    </row>
    <row r="40" spans="1:9" ht="12" customHeight="1" outlineLevel="1">
      <c r="A40" s="371" t="s">
        <v>197</v>
      </c>
      <c r="B40" s="371"/>
      <c r="C40" s="190"/>
      <c r="D40" s="190"/>
      <c r="E40" s="191">
        <v>577852.92</v>
      </c>
      <c r="F40" s="190"/>
      <c r="G40" s="190"/>
      <c r="H40" s="192"/>
      <c r="I40" s="193"/>
    </row>
    <row r="41" spans="1:9" ht="23.25" customHeight="1" outlineLevel="1">
      <c r="A41" s="371" t="s">
        <v>198</v>
      </c>
      <c r="B41" s="371"/>
      <c r="C41" s="190"/>
      <c r="D41" s="190"/>
      <c r="E41" s="236">
        <v>505.17</v>
      </c>
      <c r="F41" s="190"/>
      <c r="G41" s="190"/>
      <c r="H41" s="192"/>
      <c r="I41" s="193"/>
    </row>
    <row r="42" spans="1:9" ht="23.25" customHeight="1" outlineLevel="1">
      <c r="A42" s="371" t="s">
        <v>199</v>
      </c>
      <c r="B42" s="371"/>
      <c r="C42" s="190"/>
      <c r="D42" s="190"/>
      <c r="E42" s="235">
        <v>3261.24</v>
      </c>
      <c r="F42" s="190"/>
      <c r="G42" s="190"/>
      <c r="H42" s="192"/>
      <c r="I42" s="193"/>
    </row>
    <row r="43" spans="1:9" ht="23.25" customHeight="1" outlineLevel="1">
      <c r="A43" s="371" t="s">
        <v>200</v>
      </c>
      <c r="B43" s="371"/>
      <c r="C43" s="190"/>
      <c r="D43" s="190"/>
      <c r="E43" s="191">
        <v>75134.04</v>
      </c>
      <c r="F43" s="190"/>
      <c r="G43" s="190"/>
      <c r="H43" s="192"/>
      <c r="I43" s="193"/>
    </row>
    <row r="44" spans="1:9" ht="23.25" customHeight="1" outlineLevel="1">
      <c r="A44" s="371" t="s">
        <v>201</v>
      </c>
      <c r="B44" s="371"/>
      <c r="C44" s="190"/>
      <c r="D44" s="190"/>
      <c r="E44" s="235">
        <v>13194.23</v>
      </c>
      <c r="F44" s="190"/>
      <c r="G44" s="190"/>
      <c r="H44" s="192"/>
      <c r="I44" s="193"/>
    </row>
    <row r="45" spans="1:9" ht="23.25" customHeight="1" outlineLevel="1">
      <c r="A45" s="371" t="s">
        <v>202</v>
      </c>
      <c r="B45" s="371"/>
      <c r="C45" s="190"/>
      <c r="D45" s="190"/>
      <c r="E45" s="235">
        <v>18163.02</v>
      </c>
      <c r="F45" s="190"/>
      <c r="G45" s="190"/>
      <c r="H45" s="192"/>
      <c r="I45" s="193"/>
    </row>
    <row r="46" spans="1:9" ht="23.25" customHeight="1" outlineLevel="1">
      <c r="A46" s="371" t="s">
        <v>203</v>
      </c>
      <c r="B46" s="371"/>
      <c r="C46" s="190"/>
      <c r="D46" s="190"/>
      <c r="E46" s="236">
        <v>21.53</v>
      </c>
      <c r="F46" s="190"/>
      <c r="G46" s="190"/>
      <c r="H46" s="192"/>
      <c r="I46" s="193"/>
    </row>
    <row r="47" spans="1:9" ht="12.75" customHeight="1">
      <c r="A47" s="372" t="s">
        <v>204</v>
      </c>
      <c r="B47" s="372"/>
      <c r="C47" s="195"/>
      <c r="D47" s="195"/>
      <c r="E47" s="196">
        <v>2035679.55</v>
      </c>
      <c r="F47" s="196">
        <v>2035679.55</v>
      </c>
      <c r="G47" s="195"/>
      <c r="H47" s="197"/>
      <c r="I47" s="198"/>
    </row>
  </sheetData>
  <sheetProtection/>
  <mergeCells count="52">
    <mergeCell ref="F9:F10"/>
    <mergeCell ref="G9:G10"/>
    <mergeCell ref="A1:H1"/>
    <mergeCell ref="A2:H2"/>
    <mergeCell ref="B4:H4"/>
    <mergeCell ref="B6:H6"/>
    <mergeCell ref="A8:B8"/>
    <mergeCell ref="C8:D8"/>
    <mergeCell ref="E8:F8"/>
    <mergeCell ref="G8:I8"/>
    <mergeCell ref="H9:I10"/>
    <mergeCell ref="A11:B11"/>
    <mergeCell ref="A12:B12"/>
    <mergeCell ref="A13:B13"/>
    <mergeCell ref="A14:B14"/>
    <mergeCell ref="A15:B15"/>
    <mergeCell ref="A9:B10"/>
    <mergeCell ref="C9:C10"/>
    <mergeCell ref="D9:D10"/>
    <mergeCell ref="E9:E10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6:B46"/>
    <mergeCell ref="A47:B47"/>
    <mergeCell ref="A40:B40"/>
    <mergeCell ref="A41:B41"/>
    <mergeCell ref="A42:B42"/>
    <mergeCell ref="A43:B43"/>
    <mergeCell ref="A44:B44"/>
    <mergeCell ref="A45:B45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AH20"/>
  <sheetViews>
    <sheetView zoomScalePageLayoutView="0" workbookViewId="0" topLeftCell="A1">
      <selection activeCell="G21" sqref="G21"/>
    </sheetView>
  </sheetViews>
  <sheetFormatPr defaultColWidth="9.00390625" defaultRowHeight="11.25" customHeight="1" outlineLevelRow="2" outlineLevelCol="1"/>
  <cols>
    <col min="1" max="1" width="9.00390625" style="199" customWidth="1"/>
    <col min="2" max="2" width="16.00390625" style="199" customWidth="1"/>
    <col min="3" max="3" width="5.00390625" style="199" customWidth="1"/>
    <col min="4" max="4" width="10.57421875" style="199" customWidth="1"/>
    <col min="5" max="5" width="6.57421875" style="199" customWidth="1"/>
    <col min="6" max="6" width="7.57421875" style="199" customWidth="1"/>
    <col min="7" max="7" width="5.140625" style="199" customWidth="1"/>
    <col min="8" max="8" width="2.8515625" style="199" customWidth="1"/>
    <col min="9" max="9" width="8.00390625" style="199" customWidth="1"/>
    <col min="10" max="10" width="9.140625" style="199" hidden="1" customWidth="1" outlineLevel="1"/>
    <col min="11" max="11" width="6.57421875" style="199" hidden="1" customWidth="1" outlineLevel="1"/>
    <col min="12" max="20" width="15.57421875" style="199" hidden="1" customWidth="1" outlineLevel="1"/>
    <col min="21" max="21" width="15.57421875" style="199" customWidth="1" collapsed="1"/>
    <col min="22" max="24" width="15.57421875" style="199" customWidth="1" outlineLevel="1"/>
    <col min="25" max="25" width="15.57421875" style="199" customWidth="1"/>
    <col min="26" max="28" width="15.57421875" style="199" customWidth="1" outlineLevel="1"/>
    <col min="29" max="29" width="15.57421875" style="199" customWidth="1"/>
    <col min="30" max="32" width="15.57421875" style="199" customWidth="1" outlineLevel="1"/>
    <col min="33" max="34" width="15.57421875" style="199" customWidth="1"/>
  </cols>
  <sheetData>
    <row r="1" s="199" customFormat="1" ht="9.75" customHeight="1"/>
    <row r="2" spans="1:7" ht="24.75" customHeight="1">
      <c r="A2" s="200" t="s">
        <v>606</v>
      </c>
      <c r="B2" s="200"/>
      <c r="C2" s="200"/>
      <c r="D2" s="200"/>
      <c r="E2" s="200"/>
      <c r="F2" s="200"/>
      <c r="G2" s="200"/>
    </row>
    <row r="3" s="199" customFormat="1" ht="9.75" customHeight="1"/>
    <row r="4" spans="1:10" ht="36.75" customHeight="1">
      <c r="A4" s="400" t="s">
        <v>607</v>
      </c>
      <c r="B4" s="400"/>
      <c r="C4" s="400"/>
      <c r="D4" s="400" t="s">
        <v>608</v>
      </c>
      <c r="E4" s="400"/>
      <c r="F4" s="400"/>
      <c r="G4" s="400"/>
      <c r="H4" s="400"/>
      <c r="I4" s="400"/>
      <c r="J4" s="400"/>
    </row>
    <row r="5" spans="1:10" ht="18.75" customHeight="1">
      <c r="A5" s="400" t="s">
        <v>609</v>
      </c>
      <c r="B5" s="400"/>
      <c r="C5" s="400"/>
      <c r="D5" s="400" t="s">
        <v>610</v>
      </c>
      <c r="E5" s="400"/>
      <c r="F5" s="400"/>
      <c r="G5" s="400"/>
      <c r="H5" s="400"/>
      <c r="I5" s="400"/>
      <c r="J5" s="400"/>
    </row>
    <row r="6" s="199" customFormat="1" ht="9.75" customHeight="1"/>
    <row r="7" spans="1:34" ht="24.75" customHeight="1" outlineLevel="1">
      <c r="A7" s="399" t="s">
        <v>611</v>
      </c>
      <c r="B7" s="399"/>
      <c r="C7" s="397" t="s">
        <v>612</v>
      </c>
      <c r="D7" s="397"/>
      <c r="E7" s="403" t="s">
        <v>613</v>
      </c>
      <c r="F7" s="403"/>
      <c r="G7" s="403" t="s">
        <v>614</v>
      </c>
      <c r="H7" s="403"/>
      <c r="I7" s="403"/>
      <c r="J7" s="395" t="s">
        <v>615</v>
      </c>
      <c r="K7" s="395"/>
      <c r="L7" s="395" t="s">
        <v>616</v>
      </c>
      <c r="M7" s="395" t="s">
        <v>617</v>
      </c>
      <c r="N7" s="395" t="s">
        <v>618</v>
      </c>
      <c r="O7" s="395" t="s">
        <v>619</v>
      </c>
      <c r="P7" s="395" t="s">
        <v>620</v>
      </c>
      <c r="Q7" s="395" t="s">
        <v>621</v>
      </c>
      <c r="R7" s="395" t="s">
        <v>622</v>
      </c>
      <c r="S7" s="395" t="s">
        <v>623</v>
      </c>
      <c r="T7" s="395" t="s">
        <v>624</v>
      </c>
      <c r="U7" s="397" t="s">
        <v>625</v>
      </c>
      <c r="V7" s="395" t="s">
        <v>626</v>
      </c>
      <c r="W7" s="395" t="s">
        <v>627</v>
      </c>
      <c r="X7" s="395" t="s">
        <v>628</v>
      </c>
      <c r="Y7" s="397" t="s">
        <v>629</v>
      </c>
      <c r="Z7" s="395" t="s">
        <v>630</v>
      </c>
      <c r="AA7" s="395" t="s">
        <v>631</v>
      </c>
      <c r="AB7" s="395" t="s">
        <v>632</v>
      </c>
      <c r="AC7" s="397" t="s">
        <v>633</v>
      </c>
      <c r="AD7" s="395" t="s">
        <v>634</v>
      </c>
      <c r="AE7" s="395" t="s">
        <v>635</v>
      </c>
      <c r="AF7" s="395" t="s">
        <v>636</v>
      </c>
      <c r="AG7" s="397" t="s">
        <v>141</v>
      </c>
      <c r="AH7" s="397" t="s">
        <v>637</v>
      </c>
    </row>
    <row r="8" spans="1:34" ht="24.75" customHeight="1" outlineLevel="1">
      <c r="A8" s="399" t="s">
        <v>638</v>
      </c>
      <c r="B8" s="399"/>
      <c r="C8" s="401"/>
      <c r="D8" s="402"/>
      <c r="E8" s="201" t="s">
        <v>639</v>
      </c>
      <c r="F8" s="201" t="s">
        <v>640</v>
      </c>
      <c r="G8" s="399" t="s">
        <v>639</v>
      </c>
      <c r="H8" s="399"/>
      <c r="I8" s="201" t="s">
        <v>640</v>
      </c>
      <c r="J8" s="404"/>
      <c r="K8" s="405"/>
      <c r="L8" s="396"/>
      <c r="M8" s="396"/>
      <c r="N8" s="396"/>
      <c r="O8" s="396"/>
      <c r="P8" s="396"/>
      <c r="Q8" s="396"/>
      <c r="R8" s="396"/>
      <c r="S8" s="396"/>
      <c r="T8" s="396"/>
      <c r="U8" s="398"/>
      <c r="V8" s="396"/>
      <c r="W8" s="396"/>
      <c r="X8" s="396"/>
      <c r="Y8" s="398"/>
      <c r="Z8" s="396"/>
      <c r="AA8" s="396"/>
      <c r="AB8" s="396"/>
      <c r="AC8" s="398"/>
      <c r="AD8" s="396"/>
      <c r="AE8" s="396"/>
      <c r="AF8" s="396"/>
      <c r="AG8" s="398"/>
      <c r="AH8" s="398"/>
    </row>
    <row r="9" spans="1:34" ht="21.75" customHeight="1" outlineLevel="1">
      <c r="A9" s="392" t="s">
        <v>641</v>
      </c>
      <c r="B9" s="392"/>
      <c r="C9" s="202"/>
      <c r="D9" s="203"/>
      <c r="E9" s="204">
        <v>681</v>
      </c>
      <c r="F9" s="205">
        <v>5427</v>
      </c>
      <c r="G9" s="393">
        <v>119</v>
      </c>
      <c r="H9" s="393"/>
      <c r="I9" s="204">
        <v>775</v>
      </c>
      <c r="J9" s="394">
        <v>13868.61</v>
      </c>
      <c r="K9" s="394"/>
      <c r="L9" s="206">
        <v>713792.2</v>
      </c>
      <c r="M9" s="206">
        <v>96478.92</v>
      </c>
      <c r="N9" s="206">
        <v>41807.27</v>
      </c>
      <c r="O9" s="206">
        <v>19520.58</v>
      </c>
      <c r="P9" s="206">
        <v>6266.89</v>
      </c>
      <c r="Q9" s="206">
        <v>25557.01</v>
      </c>
      <c r="R9" s="206">
        <v>114573</v>
      </c>
      <c r="S9" s="206">
        <v>3000</v>
      </c>
      <c r="T9" s="206">
        <v>372865.97</v>
      </c>
      <c r="U9" s="206">
        <v>1407730.45</v>
      </c>
      <c r="V9" s="206">
        <v>130310</v>
      </c>
      <c r="W9" s="206">
        <v>24899</v>
      </c>
      <c r="X9" s="206">
        <v>8338.48</v>
      </c>
      <c r="Y9" s="206">
        <v>163547.48</v>
      </c>
      <c r="Z9" s="206">
        <v>369000</v>
      </c>
      <c r="AA9" s="206">
        <v>618874.79</v>
      </c>
      <c r="AB9" s="206">
        <v>191155.02</v>
      </c>
      <c r="AC9" s="206">
        <v>1179029.81</v>
      </c>
      <c r="AD9" s="206">
        <v>5263</v>
      </c>
      <c r="AE9" s="206">
        <v>5263</v>
      </c>
      <c r="AF9" s="206">
        <v>15968</v>
      </c>
      <c r="AG9" s="206">
        <v>26494</v>
      </c>
      <c r="AH9" s="206">
        <v>65153.16</v>
      </c>
    </row>
    <row r="10" spans="1:34" ht="10.5" customHeight="1" outlineLevel="2">
      <c r="A10" s="386" t="s">
        <v>642</v>
      </c>
      <c r="B10" s="386"/>
      <c r="C10" s="207"/>
      <c r="D10" s="208"/>
      <c r="E10" s="209">
        <v>213</v>
      </c>
      <c r="F10" s="210">
        <v>1697</v>
      </c>
      <c r="G10" s="387">
        <v>41</v>
      </c>
      <c r="H10" s="387"/>
      <c r="I10" s="209">
        <v>280</v>
      </c>
      <c r="J10" s="391">
        <v>1847.58</v>
      </c>
      <c r="K10" s="391"/>
      <c r="L10" s="211">
        <v>208500.54</v>
      </c>
      <c r="M10" s="211">
        <v>34357.56</v>
      </c>
      <c r="N10" s="211">
        <v>9349.2</v>
      </c>
      <c r="O10" s="211">
        <v>7011.9</v>
      </c>
      <c r="P10" s="211">
        <v>2942.12</v>
      </c>
      <c r="Q10" s="211">
        <v>11471.9</v>
      </c>
      <c r="R10" s="211">
        <v>39971</v>
      </c>
      <c r="S10" s="211">
        <v>1000</v>
      </c>
      <c r="T10" s="211">
        <v>126668.38</v>
      </c>
      <c r="U10" s="211">
        <v>443120.18</v>
      </c>
      <c r="V10" s="211">
        <v>8732</v>
      </c>
      <c r="W10" s="211">
        <v>21368</v>
      </c>
      <c r="X10" s="211">
        <v>4267.59</v>
      </c>
      <c r="Y10" s="211">
        <v>34367.59</v>
      </c>
      <c r="Z10" s="211">
        <v>114200</v>
      </c>
      <c r="AA10" s="211">
        <v>216670.66</v>
      </c>
      <c r="AB10" s="211">
        <v>61375.87</v>
      </c>
      <c r="AC10" s="211">
        <v>392246.53</v>
      </c>
      <c r="AD10" s="211">
        <v>5263</v>
      </c>
      <c r="AE10" s="211">
        <v>5263</v>
      </c>
      <c r="AF10" s="211">
        <v>10242</v>
      </c>
      <c r="AG10" s="211">
        <v>20768</v>
      </c>
      <c r="AH10" s="211">
        <v>16506.06</v>
      </c>
    </row>
    <row r="11" spans="1:34" ht="10.5" customHeight="1" outlineLevel="2">
      <c r="A11" s="386" t="s">
        <v>643</v>
      </c>
      <c r="B11" s="386"/>
      <c r="C11" s="207"/>
      <c r="D11" s="208"/>
      <c r="E11" s="209">
        <v>205</v>
      </c>
      <c r="F11" s="210">
        <v>1634</v>
      </c>
      <c r="G11" s="387">
        <v>47</v>
      </c>
      <c r="H11" s="387"/>
      <c r="I11" s="209">
        <v>256</v>
      </c>
      <c r="J11" s="391">
        <v>1763.6</v>
      </c>
      <c r="K11" s="391"/>
      <c r="L11" s="211">
        <v>220272.5</v>
      </c>
      <c r="M11" s="211">
        <v>33684.16</v>
      </c>
      <c r="N11" s="211">
        <v>24266.97</v>
      </c>
      <c r="O11" s="211">
        <v>6933.42</v>
      </c>
      <c r="P11" s="211">
        <v>3324.77</v>
      </c>
      <c r="Q11" s="211">
        <v>4108.16</v>
      </c>
      <c r="R11" s="211">
        <v>34671</v>
      </c>
      <c r="S11" s="211">
        <v>1000</v>
      </c>
      <c r="T11" s="211">
        <v>108265.42</v>
      </c>
      <c r="U11" s="211">
        <v>438290</v>
      </c>
      <c r="V11" s="211">
        <v>55158</v>
      </c>
      <c r="W11" s="211">
        <v>3531</v>
      </c>
      <c r="X11" s="211">
        <v>4070.89</v>
      </c>
      <c r="Y11" s="211">
        <v>62759.89</v>
      </c>
      <c r="Z11" s="211">
        <v>113200</v>
      </c>
      <c r="AA11" s="211">
        <v>179972.2</v>
      </c>
      <c r="AB11" s="211">
        <v>65851.85</v>
      </c>
      <c r="AC11" s="211">
        <v>359024.05</v>
      </c>
      <c r="AD11" s="212"/>
      <c r="AE11" s="212"/>
      <c r="AF11" s="211">
        <v>5726</v>
      </c>
      <c r="AG11" s="211">
        <v>5726</v>
      </c>
      <c r="AH11" s="211">
        <v>16506.06</v>
      </c>
    </row>
    <row r="12" spans="1:34" ht="21.75" customHeight="1" outlineLevel="2">
      <c r="A12" s="386" t="s">
        <v>644</v>
      </c>
      <c r="B12" s="386"/>
      <c r="C12" s="207"/>
      <c r="D12" s="208"/>
      <c r="E12" s="209">
        <v>230</v>
      </c>
      <c r="F12" s="210">
        <v>1833</v>
      </c>
      <c r="G12" s="387">
        <v>22</v>
      </c>
      <c r="H12" s="387"/>
      <c r="I12" s="209">
        <v>175</v>
      </c>
      <c r="J12" s="391">
        <v>10257.43</v>
      </c>
      <c r="K12" s="391"/>
      <c r="L12" s="211">
        <v>254532.76</v>
      </c>
      <c r="M12" s="211">
        <v>28437.2</v>
      </c>
      <c r="N12" s="211">
        <v>5622.1</v>
      </c>
      <c r="O12" s="211">
        <v>3373.26</v>
      </c>
      <c r="P12" s="212"/>
      <c r="Q12" s="211">
        <v>9976.95</v>
      </c>
      <c r="R12" s="211">
        <v>39931</v>
      </c>
      <c r="S12" s="211">
        <v>1000</v>
      </c>
      <c r="T12" s="211">
        <v>121560.97</v>
      </c>
      <c r="U12" s="211">
        <v>474691.67</v>
      </c>
      <c r="V12" s="211">
        <v>60072</v>
      </c>
      <c r="W12" s="212"/>
      <c r="X12" s="212"/>
      <c r="Y12" s="211">
        <v>60072</v>
      </c>
      <c r="Z12" s="211">
        <v>123100</v>
      </c>
      <c r="AA12" s="211">
        <v>211491.42</v>
      </c>
      <c r="AB12" s="211">
        <v>61191.3</v>
      </c>
      <c r="AC12" s="211">
        <v>395782.72</v>
      </c>
      <c r="AD12" s="212"/>
      <c r="AE12" s="212"/>
      <c r="AF12" s="212"/>
      <c r="AG12" s="212"/>
      <c r="AH12" s="211">
        <v>18836.95</v>
      </c>
    </row>
    <row r="13" spans="1:34" ht="10.5" customHeight="1" outlineLevel="2">
      <c r="A13" s="386" t="s">
        <v>645</v>
      </c>
      <c r="B13" s="386"/>
      <c r="C13" s="207"/>
      <c r="D13" s="208"/>
      <c r="E13" s="209">
        <v>33</v>
      </c>
      <c r="F13" s="209">
        <v>263</v>
      </c>
      <c r="G13" s="387">
        <v>9</v>
      </c>
      <c r="H13" s="387"/>
      <c r="I13" s="209">
        <v>64</v>
      </c>
      <c r="J13" s="213"/>
      <c r="K13" s="214"/>
      <c r="L13" s="211">
        <v>30486.4</v>
      </c>
      <c r="M13" s="212"/>
      <c r="N13" s="211">
        <v>2569</v>
      </c>
      <c r="O13" s="211">
        <v>2202</v>
      </c>
      <c r="P13" s="212"/>
      <c r="Q13" s="212"/>
      <c r="R13" s="212"/>
      <c r="S13" s="212"/>
      <c r="T13" s="211">
        <v>16371.2</v>
      </c>
      <c r="U13" s="211">
        <v>51628.6</v>
      </c>
      <c r="V13" s="211">
        <v>6348</v>
      </c>
      <c r="W13" s="212"/>
      <c r="X13" s="212"/>
      <c r="Y13" s="211">
        <v>6348</v>
      </c>
      <c r="Z13" s="211">
        <v>18500</v>
      </c>
      <c r="AA13" s="211">
        <v>10740.51</v>
      </c>
      <c r="AB13" s="211">
        <v>2736</v>
      </c>
      <c r="AC13" s="211">
        <v>31976.51</v>
      </c>
      <c r="AD13" s="212"/>
      <c r="AE13" s="212"/>
      <c r="AF13" s="212"/>
      <c r="AG13" s="212"/>
      <c r="AH13" s="211">
        <v>13304.09</v>
      </c>
    </row>
    <row r="14" spans="1:34" ht="12.75" customHeight="1" outlineLevel="1">
      <c r="A14" s="388" t="s">
        <v>204</v>
      </c>
      <c r="B14" s="388"/>
      <c r="C14" s="215"/>
      <c r="D14" s="216"/>
      <c r="E14" s="217">
        <v>681</v>
      </c>
      <c r="F14" s="218">
        <v>5427</v>
      </c>
      <c r="G14" s="389">
        <v>119</v>
      </c>
      <c r="H14" s="389"/>
      <c r="I14" s="217">
        <v>775</v>
      </c>
      <c r="J14" s="390">
        <v>13868.61</v>
      </c>
      <c r="K14" s="390"/>
      <c r="L14" s="219">
        <v>713792.2</v>
      </c>
      <c r="M14" s="219">
        <v>96478.92</v>
      </c>
      <c r="N14" s="219">
        <v>41807.27</v>
      </c>
      <c r="O14" s="219">
        <v>19520.58</v>
      </c>
      <c r="P14" s="219">
        <v>6266.89</v>
      </c>
      <c r="Q14" s="219">
        <v>25557.01</v>
      </c>
      <c r="R14" s="219">
        <v>114573</v>
      </c>
      <c r="S14" s="219">
        <v>3000</v>
      </c>
      <c r="T14" s="219">
        <v>372865.97</v>
      </c>
      <c r="U14" s="219">
        <v>1407730.45</v>
      </c>
      <c r="V14" s="219">
        <v>130310</v>
      </c>
      <c r="W14" s="219">
        <v>24899</v>
      </c>
      <c r="X14" s="219">
        <v>8338.48</v>
      </c>
      <c r="Y14" s="219">
        <v>163547.48</v>
      </c>
      <c r="Z14" s="219">
        <v>369000</v>
      </c>
      <c r="AA14" s="219">
        <v>618874.79</v>
      </c>
      <c r="AB14" s="219">
        <v>191155.02</v>
      </c>
      <c r="AC14" s="219">
        <v>1179029.81</v>
      </c>
      <c r="AD14" s="219">
        <v>5263</v>
      </c>
      <c r="AE14" s="219">
        <v>5263</v>
      </c>
      <c r="AF14" s="219">
        <v>15968</v>
      </c>
      <c r="AG14" s="219">
        <v>26494</v>
      </c>
      <c r="AH14" s="219">
        <v>65153.16</v>
      </c>
    </row>
    <row r="15" s="199" customFormat="1" ht="9.75" customHeight="1" outlineLevel="1"/>
    <row r="19" ht="11.25" customHeight="1">
      <c r="U19" s="199">
        <f>U9*0.304</f>
        <v>427950.05679999996</v>
      </c>
    </row>
    <row r="20" ht="11.25" customHeight="1">
      <c r="U20" s="220">
        <f>U19+U9</f>
        <v>1835680.5067999999</v>
      </c>
    </row>
  </sheetData>
  <sheetProtection/>
  <mergeCells count="51">
    <mergeCell ref="A4:C4"/>
    <mergeCell ref="D4:J4"/>
    <mergeCell ref="A5:C5"/>
    <mergeCell ref="D5:J5"/>
    <mergeCell ref="A7:B7"/>
    <mergeCell ref="C7:D8"/>
    <mergeCell ref="E7:F7"/>
    <mergeCell ref="G7:I7"/>
    <mergeCell ref="J7:K8"/>
    <mergeCell ref="L7:L8"/>
    <mergeCell ref="M7:M8"/>
    <mergeCell ref="N7:N8"/>
    <mergeCell ref="O7:O8"/>
    <mergeCell ref="P7:P8"/>
    <mergeCell ref="Q7:Q8"/>
    <mergeCell ref="AA7:AA8"/>
    <mergeCell ref="AB7:AB8"/>
    <mergeCell ref="AC7:AC8"/>
    <mergeCell ref="R7:R8"/>
    <mergeCell ref="S7:S8"/>
    <mergeCell ref="T7:T8"/>
    <mergeCell ref="U7:U8"/>
    <mergeCell ref="V7:V8"/>
    <mergeCell ref="W7:W8"/>
    <mergeCell ref="AD7:AD8"/>
    <mergeCell ref="AE7:AE8"/>
    <mergeCell ref="AF7:AF8"/>
    <mergeCell ref="AG7:AG8"/>
    <mergeCell ref="AH7:AH8"/>
    <mergeCell ref="A8:B8"/>
    <mergeCell ref="G8:H8"/>
    <mergeCell ref="X7:X8"/>
    <mergeCell ref="Y7:Y8"/>
    <mergeCell ref="Z7:Z8"/>
    <mergeCell ref="J12:K12"/>
    <mergeCell ref="A9:B9"/>
    <mergeCell ref="G9:H9"/>
    <mergeCell ref="J9:K9"/>
    <mergeCell ref="A10:B10"/>
    <mergeCell ref="G10:H10"/>
    <mergeCell ref="J10:K10"/>
    <mergeCell ref="A13:B13"/>
    <mergeCell ref="G13:H13"/>
    <mergeCell ref="A14:B14"/>
    <mergeCell ref="G14:H14"/>
    <mergeCell ref="J14:K14"/>
    <mergeCell ref="A11:B11"/>
    <mergeCell ref="G11:H11"/>
    <mergeCell ref="J11:K11"/>
    <mergeCell ref="A12:B12"/>
    <mergeCell ref="G12:H12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64"/>
  <sheetViews>
    <sheetView zoomScalePageLayoutView="0" workbookViewId="0" topLeftCell="A1">
      <selection activeCell="F65" sqref="F65"/>
    </sheetView>
  </sheetViews>
  <sheetFormatPr defaultColWidth="9.140625" defaultRowHeight="15" outlineLevelRow="1"/>
  <cols>
    <col min="1" max="1" width="16.00390625" style="0" customWidth="1"/>
    <col min="2" max="2" width="14.00390625" style="0" customWidth="1"/>
    <col min="3" max="7" width="16.00390625" style="0" customWidth="1"/>
    <col min="8" max="8" width="1.421875" style="0" customWidth="1"/>
    <col min="9" max="9" width="14.57421875" style="0" customWidth="1"/>
  </cols>
  <sheetData>
    <row r="1" spans="1:8" ht="12.75" customHeight="1">
      <c r="A1" s="416" t="s">
        <v>162</v>
      </c>
      <c r="B1" s="416"/>
      <c r="C1" s="416"/>
      <c r="D1" s="416"/>
      <c r="E1" s="416"/>
      <c r="F1" s="416"/>
      <c r="G1" s="416"/>
      <c r="H1" s="416"/>
    </row>
    <row r="2" spans="1:8" ht="15.75" customHeight="1">
      <c r="A2" s="417" t="s">
        <v>659</v>
      </c>
      <c r="B2" s="417"/>
      <c r="C2" s="417"/>
      <c r="D2" s="417"/>
      <c r="E2" s="417"/>
      <c r="F2" s="417"/>
      <c r="G2" s="417"/>
      <c r="H2" s="417"/>
    </row>
    <row r="3" ht="1.5" customHeight="1"/>
    <row r="4" spans="1:8" ht="11.25" customHeight="1">
      <c r="A4" s="297" t="s">
        <v>163</v>
      </c>
      <c r="B4" s="418" t="s">
        <v>164</v>
      </c>
      <c r="C4" s="418"/>
      <c r="D4" s="418"/>
      <c r="E4" s="418"/>
      <c r="F4" s="418"/>
      <c r="G4" s="418"/>
      <c r="H4" s="418"/>
    </row>
    <row r="5" ht="1.5" customHeight="1"/>
    <row r="6" spans="1:8" ht="11.25" customHeight="1">
      <c r="A6" s="297" t="s">
        <v>165</v>
      </c>
      <c r="B6" s="418" t="s">
        <v>166</v>
      </c>
      <c r="C6" s="418"/>
      <c r="D6" s="418"/>
      <c r="E6" s="418"/>
      <c r="F6" s="418"/>
      <c r="G6" s="418"/>
      <c r="H6" s="418"/>
    </row>
    <row r="7" ht="1.5" customHeight="1"/>
    <row r="8" spans="1:9" ht="12.75" customHeight="1">
      <c r="A8" s="419" t="s">
        <v>167</v>
      </c>
      <c r="B8" s="419"/>
      <c r="C8" s="420" t="s">
        <v>168</v>
      </c>
      <c r="D8" s="420"/>
      <c r="E8" s="420" t="s">
        <v>169</v>
      </c>
      <c r="F8" s="420"/>
      <c r="G8" s="420" t="s">
        <v>170</v>
      </c>
      <c r="H8" s="420"/>
      <c r="I8" s="420"/>
    </row>
    <row r="9" spans="1:9" ht="11.25" customHeight="1">
      <c r="A9" s="412" t="s">
        <v>171</v>
      </c>
      <c r="B9" s="412"/>
      <c r="C9" s="408" t="s">
        <v>172</v>
      </c>
      <c r="D9" s="408" t="s">
        <v>173</v>
      </c>
      <c r="E9" s="408" t="s">
        <v>172</v>
      </c>
      <c r="F9" s="408" t="s">
        <v>173</v>
      </c>
      <c r="G9" s="408" t="s">
        <v>172</v>
      </c>
      <c r="H9" s="408" t="s">
        <v>173</v>
      </c>
      <c r="I9" s="408"/>
    </row>
    <row r="10" spans="1:9" ht="11.25" customHeight="1">
      <c r="A10" s="413"/>
      <c r="B10" s="414"/>
      <c r="C10" s="415"/>
      <c r="D10" s="415"/>
      <c r="E10" s="415"/>
      <c r="F10" s="415"/>
      <c r="G10" s="415"/>
      <c r="H10" s="409"/>
      <c r="I10" s="410"/>
    </row>
    <row r="11" spans="1:9" ht="12.75" customHeight="1">
      <c r="A11" s="411" t="s">
        <v>247</v>
      </c>
      <c r="B11" s="411"/>
      <c r="C11" s="298"/>
      <c r="D11" s="298"/>
      <c r="E11" s="299">
        <v>1776497.81</v>
      </c>
      <c r="F11" s="299">
        <v>1776497.81</v>
      </c>
      <c r="G11" s="298"/>
      <c r="H11" s="300"/>
      <c r="I11" s="301"/>
    </row>
    <row r="12" spans="1:9" ht="12" customHeight="1" outlineLevel="1">
      <c r="A12" s="406" t="s">
        <v>174</v>
      </c>
      <c r="B12" s="406"/>
      <c r="C12" s="302"/>
      <c r="D12" s="302"/>
      <c r="E12" s="302"/>
      <c r="F12" s="303">
        <v>1776497.81</v>
      </c>
      <c r="G12" s="302"/>
      <c r="H12" s="304"/>
      <c r="I12" s="305"/>
    </row>
    <row r="13" spans="1:9" ht="12" customHeight="1" outlineLevel="1">
      <c r="A13" s="406" t="s">
        <v>175</v>
      </c>
      <c r="B13" s="406"/>
      <c r="C13" s="302"/>
      <c r="D13" s="302"/>
      <c r="E13" s="303">
        <v>54925.44</v>
      </c>
      <c r="F13" s="302"/>
      <c r="G13" s="302"/>
      <c r="H13" s="304"/>
      <c r="I13" s="305"/>
    </row>
    <row r="14" spans="1:9" ht="23.25" customHeight="1" outlineLevel="1">
      <c r="A14" s="406" t="s">
        <v>660</v>
      </c>
      <c r="B14" s="406"/>
      <c r="C14" s="302"/>
      <c r="D14" s="302"/>
      <c r="E14" s="316">
        <v>15951.92</v>
      </c>
      <c r="F14" s="302"/>
      <c r="G14" s="302"/>
      <c r="H14" s="304"/>
      <c r="I14" s="305"/>
    </row>
    <row r="15" spans="1:9" ht="12" customHeight="1" outlineLevel="1">
      <c r="A15" s="406" t="s">
        <v>249</v>
      </c>
      <c r="B15" s="406"/>
      <c r="C15" s="302"/>
      <c r="D15" s="302"/>
      <c r="E15" s="311">
        <v>40.14</v>
      </c>
      <c r="F15" s="302"/>
      <c r="G15" s="302"/>
      <c r="H15" s="304"/>
      <c r="I15" s="305"/>
    </row>
    <row r="16" spans="1:9" ht="23.25" customHeight="1" outlineLevel="1">
      <c r="A16" s="406" t="s">
        <v>661</v>
      </c>
      <c r="B16" s="406"/>
      <c r="C16" s="302"/>
      <c r="D16" s="302"/>
      <c r="E16" s="316">
        <v>270503.62</v>
      </c>
      <c r="F16" s="302"/>
      <c r="G16" s="302"/>
      <c r="H16" s="304"/>
      <c r="I16" s="305"/>
    </row>
    <row r="17" spans="1:9" ht="12" customHeight="1" outlineLevel="1">
      <c r="A17" s="406" t="s">
        <v>176</v>
      </c>
      <c r="B17" s="406"/>
      <c r="C17" s="302"/>
      <c r="D17" s="302"/>
      <c r="E17" s="315">
        <v>552.28</v>
      </c>
      <c r="F17" s="302"/>
      <c r="G17" s="302"/>
      <c r="H17" s="304"/>
      <c r="I17" s="305"/>
    </row>
    <row r="18" spans="1:9" ht="12" customHeight="1" outlineLevel="1">
      <c r="A18" s="406" t="s">
        <v>250</v>
      </c>
      <c r="B18" s="406"/>
      <c r="C18" s="302"/>
      <c r="D18" s="302"/>
      <c r="E18" s="315">
        <v>200.65</v>
      </c>
      <c r="F18" s="302"/>
      <c r="G18" s="302"/>
      <c r="H18" s="304"/>
      <c r="I18" s="305"/>
    </row>
    <row r="19" spans="1:9" ht="12" customHeight="1" outlineLevel="1">
      <c r="A19" s="406" t="s">
        <v>251</v>
      </c>
      <c r="B19" s="406"/>
      <c r="C19" s="302"/>
      <c r="D19" s="302"/>
      <c r="E19" s="315">
        <v>0.27</v>
      </c>
      <c r="F19" s="302"/>
      <c r="G19" s="302"/>
      <c r="H19" s="304"/>
      <c r="I19" s="305"/>
    </row>
    <row r="20" spans="1:9" ht="23.25" customHeight="1" outlineLevel="1">
      <c r="A20" s="406" t="s">
        <v>252</v>
      </c>
      <c r="B20" s="406"/>
      <c r="C20" s="302"/>
      <c r="D20" s="302"/>
      <c r="E20" s="317">
        <v>12021.85</v>
      </c>
      <c r="F20" s="302"/>
      <c r="G20" s="302"/>
      <c r="H20" s="304"/>
      <c r="I20" s="305"/>
    </row>
    <row r="21" spans="1:9" ht="23.25" customHeight="1" outlineLevel="1">
      <c r="A21" s="406" t="s">
        <v>253</v>
      </c>
      <c r="B21" s="406"/>
      <c r="C21" s="302"/>
      <c r="D21" s="302"/>
      <c r="E21" s="318">
        <v>879.94</v>
      </c>
      <c r="F21" s="302"/>
      <c r="G21" s="302"/>
      <c r="H21" s="304"/>
      <c r="I21" s="305"/>
    </row>
    <row r="22" spans="1:9" ht="12" customHeight="1" outlineLevel="1">
      <c r="A22" s="406" t="s">
        <v>177</v>
      </c>
      <c r="B22" s="406"/>
      <c r="C22" s="302"/>
      <c r="D22" s="302"/>
      <c r="E22" s="312">
        <v>5721.52</v>
      </c>
      <c r="F22" s="302"/>
      <c r="G22" s="302"/>
      <c r="H22" s="304"/>
      <c r="I22" s="305"/>
    </row>
    <row r="23" spans="1:9" ht="12" customHeight="1" outlineLevel="1">
      <c r="A23" s="406" t="s">
        <v>178</v>
      </c>
      <c r="B23" s="406"/>
      <c r="C23" s="302"/>
      <c r="D23" s="302"/>
      <c r="E23" s="317">
        <v>1470.89</v>
      </c>
      <c r="F23" s="302"/>
      <c r="G23" s="302"/>
      <c r="H23" s="304"/>
      <c r="I23" s="305"/>
    </row>
    <row r="24" spans="1:9" ht="12" customHeight="1" outlineLevel="1">
      <c r="A24" s="406" t="s">
        <v>254</v>
      </c>
      <c r="B24" s="406"/>
      <c r="C24" s="302"/>
      <c r="D24" s="302"/>
      <c r="E24" s="312">
        <v>52387.41</v>
      </c>
      <c r="F24" s="302"/>
      <c r="G24" s="302"/>
      <c r="H24" s="304"/>
      <c r="I24" s="305"/>
    </row>
    <row r="25" spans="1:9" ht="23.25" customHeight="1" outlineLevel="1">
      <c r="A25" s="406" t="s">
        <v>255</v>
      </c>
      <c r="B25" s="406"/>
      <c r="C25" s="302"/>
      <c r="D25" s="302"/>
      <c r="E25" s="312">
        <v>1438.6</v>
      </c>
      <c r="F25" s="302"/>
      <c r="G25" s="302"/>
      <c r="H25" s="304"/>
      <c r="I25" s="305"/>
    </row>
    <row r="26" spans="1:9" ht="12" customHeight="1" outlineLevel="1">
      <c r="A26" s="406" t="s">
        <v>256</v>
      </c>
      <c r="B26" s="406"/>
      <c r="C26" s="302"/>
      <c r="D26" s="302"/>
      <c r="E26" s="317">
        <v>2080.74</v>
      </c>
      <c r="F26" s="302"/>
      <c r="G26" s="302"/>
      <c r="H26" s="304"/>
      <c r="I26" s="305"/>
    </row>
    <row r="27" spans="1:9" ht="12" customHeight="1" outlineLevel="1">
      <c r="A27" s="406" t="s">
        <v>257</v>
      </c>
      <c r="B27" s="406"/>
      <c r="C27" s="302"/>
      <c r="D27" s="302"/>
      <c r="E27" s="318">
        <v>467.35</v>
      </c>
      <c r="F27" s="302"/>
      <c r="G27" s="302"/>
      <c r="H27" s="304"/>
      <c r="I27" s="305"/>
    </row>
    <row r="28" spans="1:9" ht="12" customHeight="1" outlineLevel="1">
      <c r="A28" s="406" t="s">
        <v>179</v>
      </c>
      <c r="B28" s="406"/>
      <c r="C28" s="302"/>
      <c r="D28" s="302"/>
      <c r="E28" s="316">
        <v>21311.58</v>
      </c>
      <c r="F28" s="302"/>
      <c r="G28" s="302"/>
      <c r="H28" s="304"/>
      <c r="I28" s="305"/>
    </row>
    <row r="29" spans="1:9" ht="12" customHeight="1" outlineLevel="1">
      <c r="A29" s="406" t="s">
        <v>662</v>
      </c>
      <c r="B29" s="406"/>
      <c r="C29" s="302"/>
      <c r="D29" s="302"/>
      <c r="E29" s="315">
        <v>48.18</v>
      </c>
      <c r="F29" s="302"/>
      <c r="G29" s="302"/>
      <c r="H29" s="304"/>
      <c r="I29" s="305"/>
    </row>
    <row r="30" spans="1:9" ht="12" customHeight="1" outlineLevel="1">
      <c r="A30" s="406" t="s">
        <v>258</v>
      </c>
      <c r="B30" s="406"/>
      <c r="C30" s="302"/>
      <c r="D30" s="302"/>
      <c r="E30" s="313">
        <v>4088.44</v>
      </c>
      <c r="F30" s="302"/>
      <c r="G30" s="302"/>
      <c r="H30" s="304"/>
      <c r="I30" s="305"/>
    </row>
    <row r="31" spans="1:9" ht="12" customHeight="1" outlineLevel="1">
      <c r="A31" s="406" t="s">
        <v>259</v>
      </c>
      <c r="B31" s="406"/>
      <c r="C31" s="302"/>
      <c r="D31" s="302"/>
      <c r="E31" s="314">
        <v>237.69</v>
      </c>
      <c r="F31" s="302"/>
      <c r="G31" s="302"/>
      <c r="H31" s="304"/>
      <c r="I31" s="305"/>
    </row>
    <row r="32" spans="1:9" ht="12" customHeight="1" outlineLevel="1">
      <c r="A32" s="406" t="s">
        <v>260</v>
      </c>
      <c r="B32" s="406"/>
      <c r="C32" s="302"/>
      <c r="D32" s="302"/>
      <c r="E32" s="313">
        <v>1532.31</v>
      </c>
      <c r="F32" s="302"/>
      <c r="G32" s="302"/>
      <c r="H32" s="304"/>
      <c r="I32" s="305"/>
    </row>
    <row r="33" spans="1:9" ht="23.25" customHeight="1" outlineLevel="1">
      <c r="A33" s="406" t="s">
        <v>180</v>
      </c>
      <c r="B33" s="406"/>
      <c r="C33" s="302"/>
      <c r="D33" s="302"/>
      <c r="E33" s="306">
        <v>983.24</v>
      </c>
      <c r="F33" s="302"/>
      <c r="G33" s="302"/>
      <c r="H33" s="304"/>
      <c r="I33" s="305"/>
    </row>
    <row r="34" spans="1:9" ht="23.25" customHeight="1" outlineLevel="1">
      <c r="A34" s="406" t="s">
        <v>181</v>
      </c>
      <c r="B34" s="406"/>
      <c r="C34" s="302"/>
      <c r="D34" s="302"/>
      <c r="E34" s="312">
        <v>10142.91</v>
      </c>
      <c r="F34" s="302"/>
      <c r="G34" s="302"/>
      <c r="H34" s="304"/>
      <c r="I34" s="305"/>
    </row>
    <row r="35" spans="1:9" ht="12" customHeight="1" outlineLevel="1">
      <c r="A35" s="406" t="s">
        <v>182</v>
      </c>
      <c r="B35" s="406"/>
      <c r="C35" s="302"/>
      <c r="D35" s="302"/>
      <c r="E35" s="315">
        <v>954.86</v>
      </c>
      <c r="F35" s="302"/>
      <c r="G35" s="302"/>
      <c r="H35" s="304"/>
      <c r="I35" s="305"/>
    </row>
    <row r="36" spans="1:9" ht="12" customHeight="1" outlineLevel="1">
      <c r="A36" s="406" t="s">
        <v>183</v>
      </c>
      <c r="B36" s="406"/>
      <c r="C36" s="302"/>
      <c r="D36" s="302"/>
      <c r="E36" s="303">
        <v>728938.18</v>
      </c>
      <c r="F36" s="302"/>
      <c r="G36" s="302"/>
      <c r="H36" s="304"/>
      <c r="I36" s="305"/>
    </row>
    <row r="37" spans="1:9" ht="12" customHeight="1" outlineLevel="1">
      <c r="A37" s="406" t="s">
        <v>261</v>
      </c>
      <c r="B37" s="406"/>
      <c r="C37" s="302"/>
      <c r="D37" s="302"/>
      <c r="E37" s="317">
        <v>4995.79</v>
      </c>
      <c r="F37" s="302"/>
      <c r="G37" s="302"/>
      <c r="H37" s="304"/>
      <c r="I37" s="305"/>
    </row>
    <row r="38" spans="1:9" ht="34.5" customHeight="1" outlineLevel="1">
      <c r="A38" s="406" t="s">
        <v>184</v>
      </c>
      <c r="B38" s="406"/>
      <c r="C38" s="302"/>
      <c r="D38" s="302"/>
      <c r="E38" s="314">
        <v>25.02</v>
      </c>
      <c r="F38" s="302"/>
      <c r="G38" s="302"/>
      <c r="H38" s="304"/>
      <c r="I38" s="305"/>
    </row>
    <row r="39" spans="1:9" ht="12" customHeight="1" outlineLevel="1">
      <c r="A39" s="406" t="s">
        <v>262</v>
      </c>
      <c r="B39" s="406"/>
      <c r="C39" s="302"/>
      <c r="D39" s="302"/>
      <c r="E39" s="312">
        <v>1350.31</v>
      </c>
      <c r="F39" s="302"/>
      <c r="G39" s="302"/>
      <c r="H39" s="304"/>
      <c r="I39" s="305"/>
    </row>
    <row r="40" spans="1:9" ht="12" customHeight="1" outlineLevel="1">
      <c r="A40" s="406" t="s">
        <v>185</v>
      </c>
      <c r="B40" s="406"/>
      <c r="C40" s="302"/>
      <c r="D40" s="302"/>
      <c r="E40" s="316">
        <v>3076.74</v>
      </c>
      <c r="F40" s="302"/>
      <c r="G40" s="302"/>
      <c r="H40" s="304"/>
      <c r="I40" s="305"/>
    </row>
    <row r="41" spans="1:9" ht="12" customHeight="1" outlineLevel="1">
      <c r="A41" s="406" t="s">
        <v>186</v>
      </c>
      <c r="B41" s="406"/>
      <c r="C41" s="302"/>
      <c r="D41" s="302"/>
      <c r="E41" s="318">
        <v>60.6</v>
      </c>
      <c r="F41" s="302"/>
      <c r="G41" s="302"/>
      <c r="H41" s="304"/>
      <c r="I41" s="305"/>
    </row>
    <row r="42" spans="1:9" ht="12" customHeight="1" outlineLevel="1">
      <c r="A42" s="406" t="s">
        <v>187</v>
      </c>
      <c r="B42" s="406"/>
      <c r="C42" s="302"/>
      <c r="D42" s="302"/>
      <c r="E42" s="316">
        <v>14500</v>
      </c>
      <c r="F42" s="302"/>
      <c r="G42" s="302"/>
      <c r="H42" s="304"/>
      <c r="I42" s="305"/>
    </row>
    <row r="43" spans="1:9" ht="12" customHeight="1" outlineLevel="1">
      <c r="A43" s="406" t="s">
        <v>663</v>
      </c>
      <c r="B43" s="406"/>
      <c r="C43" s="302"/>
      <c r="D43" s="302"/>
      <c r="E43" s="311">
        <v>918.93</v>
      </c>
      <c r="F43" s="302"/>
      <c r="G43" s="302"/>
      <c r="H43" s="304"/>
      <c r="I43" s="305"/>
    </row>
    <row r="44" spans="1:9" ht="34.5" customHeight="1" outlineLevel="1">
      <c r="A44" s="406" t="s">
        <v>188</v>
      </c>
      <c r="B44" s="406"/>
      <c r="C44" s="302"/>
      <c r="D44" s="302"/>
      <c r="E44" s="315">
        <v>37.55</v>
      </c>
      <c r="F44" s="302"/>
      <c r="G44" s="302"/>
      <c r="H44" s="304"/>
      <c r="I44" s="305"/>
    </row>
    <row r="45" spans="1:9" ht="12" customHeight="1" outlineLevel="1">
      <c r="A45" s="406" t="s">
        <v>190</v>
      </c>
      <c r="B45" s="406"/>
      <c r="C45" s="302"/>
      <c r="D45" s="302"/>
      <c r="E45" s="316">
        <v>2049.27</v>
      </c>
      <c r="F45" s="302"/>
      <c r="G45" s="302"/>
      <c r="H45" s="304"/>
      <c r="I45" s="305"/>
    </row>
    <row r="46" spans="1:9" ht="12" customHeight="1" outlineLevel="1">
      <c r="A46" s="406" t="s">
        <v>191</v>
      </c>
      <c r="B46" s="406"/>
      <c r="C46" s="302"/>
      <c r="D46" s="302"/>
      <c r="E46" s="316">
        <v>10144.15</v>
      </c>
      <c r="F46" s="302"/>
      <c r="G46" s="302"/>
      <c r="H46" s="304"/>
      <c r="I46" s="305"/>
    </row>
    <row r="47" spans="1:9" ht="34.5" customHeight="1" outlineLevel="1">
      <c r="A47" s="406" t="s">
        <v>192</v>
      </c>
      <c r="B47" s="406"/>
      <c r="C47" s="302"/>
      <c r="D47" s="302"/>
      <c r="E47" s="315">
        <v>290.41</v>
      </c>
      <c r="F47" s="302"/>
      <c r="G47" s="302"/>
      <c r="H47" s="304"/>
      <c r="I47" s="305"/>
    </row>
    <row r="48" spans="1:9" ht="12" customHeight="1" outlineLevel="1">
      <c r="A48" s="406" t="s">
        <v>264</v>
      </c>
      <c r="B48" s="406"/>
      <c r="C48" s="302"/>
      <c r="D48" s="302"/>
      <c r="E48" s="303">
        <v>3429.14</v>
      </c>
      <c r="F48" s="302"/>
      <c r="G48" s="302"/>
      <c r="H48" s="304"/>
      <c r="I48" s="305"/>
    </row>
    <row r="49" spans="1:9" ht="12" customHeight="1" outlineLevel="1">
      <c r="A49" s="406" t="s">
        <v>193</v>
      </c>
      <c r="B49" s="406"/>
      <c r="C49" s="302"/>
      <c r="D49" s="302"/>
      <c r="E49" s="317">
        <v>2075.62</v>
      </c>
      <c r="F49" s="302"/>
      <c r="G49" s="302"/>
      <c r="H49" s="304"/>
      <c r="I49" s="305"/>
    </row>
    <row r="50" spans="1:9" ht="12" customHeight="1" outlineLevel="1">
      <c r="A50" s="406" t="s">
        <v>265</v>
      </c>
      <c r="B50" s="406"/>
      <c r="C50" s="302"/>
      <c r="D50" s="302"/>
      <c r="E50" s="315">
        <v>172.92</v>
      </c>
      <c r="F50" s="302"/>
      <c r="G50" s="302"/>
      <c r="H50" s="304"/>
      <c r="I50" s="305"/>
    </row>
    <row r="51" spans="1:9" ht="12" customHeight="1" outlineLevel="1">
      <c r="A51" s="406" t="s">
        <v>194</v>
      </c>
      <c r="B51" s="406"/>
      <c r="C51" s="302"/>
      <c r="D51" s="302"/>
      <c r="E51" s="315">
        <v>139.63</v>
      </c>
      <c r="F51" s="302"/>
      <c r="G51" s="302"/>
      <c r="H51" s="304"/>
      <c r="I51" s="305"/>
    </row>
    <row r="52" spans="1:9" ht="23.25" customHeight="1" outlineLevel="1">
      <c r="A52" s="406" t="s">
        <v>195</v>
      </c>
      <c r="B52" s="406"/>
      <c r="C52" s="302"/>
      <c r="D52" s="302"/>
      <c r="E52" s="312">
        <v>1205.41</v>
      </c>
      <c r="F52" s="302"/>
      <c r="G52" s="302"/>
      <c r="H52" s="304"/>
      <c r="I52" s="305"/>
    </row>
    <row r="53" spans="1:9" ht="12" customHeight="1" outlineLevel="1">
      <c r="A53" s="406" t="s">
        <v>196</v>
      </c>
      <c r="B53" s="406"/>
      <c r="C53" s="302"/>
      <c r="D53" s="302"/>
      <c r="E53" s="303">
        <v>167548.52</v>
      </c>
      <c r="F53" s="302"/>
      <c r="G53" s="302"/>
      <c r="H53" s="304"/>
      <c r="I53" s="305"/>
    </row>
    <row r="54" spans="1:9" ht="12" customHeight="1" outlineLevel="1">
      <c r="A54" s="406" t="s">
        <v>197</v>
      </c>
      <c r="B54" s="406"/>
      <c r="C54" s="302"/>
      <c r="D54" s="302"/>
      <c r="E54" s="317">
        <v>294035.86</v>
      </c>
      <c r="F54" s="302"/>
      <c r="G54" s="302"/>
      <c r="H54" s="304"/>
      <c r="I54" s="305"/>
    </row>
    <row r="55" spans="1:9" ht="23.25" customHeight="1" outlineLevel="1">
      <c r="A55" s="406" t="s">
        <v>198</v>
      </c>
      <c r="B55" s="406"/>
      <c r="C55" s="302"/>
      <c r="D55" s="302"/>
      <c r="E55" s="318">
        <v>490.89</v>
      </c>
      <c r="F55" s="302"/>
      <c r="G55" s="302"/>
      <c r="H55" s="304"/>
      <c r="I55" s="305"/>
    </row>
    <row r="56" spans="1:9" ht="23.25" customHeight="1" outlineLevel="1">
      <c r="A56" s="406" t="s">
        <v>199</v>
      </c>
      <c r="B56" s="406"/>
      <c r="C56" s="302"/>
      <c r="D56" s="302"/>
      <c r="E56" s="317">
        <v>15528.19</v>
      </c>
      <c r="F56" s="302"/>
      <c r="G56" s="302"/>
      <c r="H56" s="304"/>
      <c r="I56" s="305"/>
    </row>
    <row r="57" spans="1:9" ht="23.25" customHeight="1" outlineLevel="1">
      <c r="A57" s="406" t="s">
        <v>200</v>
      </c>
      <c r="B57" s="406"/>
      <c r="C57" s="302"/>
      <c r="D57" s="302"/>
      <c r="E57" s="317">
        <v>35951.78</v>
      </c>
      <c r="F57" s="302"/>
      <c r="G57" s="302"/>
      <c r="H57" s="304"/>
      <c r="I57" s="305"/>
    </row>
    <row r="58" spans="1:9" ht="23.25" customHeight="1" outlineLevel="1">
      <c r="A58" s="406" t="s">
        <v>266</v>
      </c>
      <c r="B58" s="406"/>
      <c r="C58" s="302"/>
      <c r="D58" s="302"/>
      <c r="E58" s="311">
        <v>679.38</v>
      </c>
      <c r="F58" s="302"/>
      <c r="G58" s="302"/>
      <c r="H58" s="304"/>
      <c r="I58" s="305"/>
    </row>
    <row r="59" spans="1:9" ht="12" customHeight="1" outlineLevel="1">
      <c r="A59" s="406" t="s">
        <v>664</v>
      </c>
      <c r="B59" s="406"/>
      <c r="C59" s="302"/>
      <c r="D59" s="302"/>
      <c r="E59" s="315">
        <v>37.55</v>
      </c>
      <c r="F59" s="302"/>
      <c r="G59" s="302"/>
      <c r="H59" s="304"/>
      <c r="I59" s="305"/>
    </row>
    <row r="60" spans="1:9" ht="23.25" customHeight="1" outlineLevel="1">
      <c r="A60" s="406" t="s">
        <v>201</v>
      </c>
      <c r="B60" s="406"/>
      <c r="C60" s="302"/>
      <c r="D60" s="302"/>
      <c r="E60" s="317">
        <v>14454.08</v>
      </c>
      <c r="F60" s="302"/>
      <c r="G60" s="302"/>
      <c r="H60" s="304"/>
      <c r="I60" s="305"/>
    </row>
    <row r="61" spans="1:9" ht="23.25" customHeight="1" outlineLevel="1">
      <c r="A61" s="406" t="s">
        <v>202</v>
      </c>
      <c r="B61" s="406"/>
      <c r="C61" s="302"/>
      <c r="D61" s="302"/>
      <c r="E61" s="303">
        <v>16420.06</v>
      </c>
      <c r="F61" s="302"/>
      <c r="G61" s="302"/>
      <c r="H61" s="304"/>
      <c r="I61" s="305"/>
    </row>
    <row r="62" spans="1:9" ht="12.75" customHeight="1">
      <c r="A62" s="407" t="s">
        <v>204</v>
      </c>
      <c r="B62" s="407"/>
      <c r="C62" s="307"/>
      <c r="D62" s="307"/>
      <c r="E62" s="308">
        <v>1776497.81</v>
      </c>
      <c r="F62" s="308">
        <v>1776497.81</v>
      </c>
      <c r="G62" s="307"/>
      <c r="H62" s="309"/>
      <c r="I62" s="310"/>
    </row>
    <row r="63" ht="15">
      <c r="E63" s="98">
        <f>E62-E53-E36</f>
        <v>880011.11</v>
      </c>
    </row>
    <row r="64" ht="15">
      <c r="E64">
        <f>E63/1000+'Приложение № 3'!C17+'Приложение № 3'!C18</f>
        <v>3363.2516924</v>
      </c>
    </row>
  </sheetData>
  <sheetProtection/>
  <mergeCells count="67">
    <mergeCell ref="F9:F10"/>
    <mergeCell ref="G9:G10"/>
    <mergeCell ref="A1:H1"/>
    <mergeCell ref="A2:H2"/>
    <mergeCell ref="B4:H4"/>
    <mergeCell ref="B6:H6"/>
    <mergeCell ref="A8:B8"/>
    <mergeCell ref="C8:D8"/>
    <mergeCell ref="E8:F8"/>
    <mergeCell ref="G8:I8"/>
    <mergeCell ref="H9:I10"/>
    <mergeCell ref="A11:B11"/>
    <mergeCell ref="A12:B12"/>
    <mergeCell ref="A13:B13"/>
    <mergeCell ref="A14:B14"/>
    <mergeCell ref="A15:B15"/>
    <mergeCell ref="A9:B10"/>
    <mergeCell ref="C9:C10"/>
    <mergeCell ref="D9:D10"/>
    <mergeCell ref="E9:E10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57:B57"/>
    <mergeCell ref="A46:B46"/>
    <mergeCell ref="A47:B47"/>
    <mergeCell ref="A48:B48"/>
    <mergeCell ref="A49:B49"/>
    <mergeCell ref="A50:B50"/>
    <mergeCell ref="A51:B51"/>
    <mergeCell ref="A58:B58"/>
    <mergeCell ref="A59:B59"/>
    <mergeCell ref="A60:B60"/>
    <mergeCell ref="A61:B61"/>
    <mergeCell ref="A62:B62"/>
    <mergeCell ref="A52:B52"/>
    <mergeCell ref="A53:B53"/>
    <mergeCell ref="A54:B54"/>
    <mergeCell ref="A55:B55"/>
    <mergeCell ref="A56:B56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H1">
      <selection activeCell="B18" sqref="B18"/>
    </sheetView>
  </sheetViews>
  <sheetFormatPr defaultColWidth="9.00390625" defaultRowHeight="11.25" customHeight="1" outlineLevelRow="2" outlineLevelCol="1"/>
  <cols>
    <col min="1" max="1" width="9.00390625" style="199" customWidth="1"/>
    <col min="2" max="2" width="16.00390625" style="199" customWidth="1"/>
    <col min="3" max="3" width="5.00390625" style="199" customWidth="1"/>
    <col min="4" max="4" width="10.57421875" style="199" customWidth="1"/>
    <col min="5" max="5" width="6.57421875" style="199" customWidth="1"/>
    <col min="6" max="6" width="7.57421875" style="199" customWidth="1"/>
    <col min="7" max="7" width="5.140625" style="199" customWidth="1"/>
    <col min="8" max="8" width="2.8515625" style="199" customWidth="1"/>
    <col min="9" max="9" width="8.00390625" style="199" customWidth="1"/>
    <col min="10" max="10" width="9.140625" style="199" customWidth="1" outlineLevel="1"/>
    <col min="11" max="11" width="6.57421875" style="199" customWidth="1" outlineLevel="1"/>
    <col min="12" max="20" width="15.57421875" style="199" customWidth="1" outlineLevel="1"/>
    <col min="21" max="21" width="15.57421875" style="199" customWidth="1"/>
    <col min="22" max="23" width="15.57421875" style="199" customWidth="1" outlineLevel="1"/>
    <col min="24" max="24" width="15.57421875" style="199" customWidth="1"/>
    <col min="25" max="27" width="15.57421875" style="199" customWidth="1" outlineLevel="1"/>
    <col min="28" max="29" width="15.57421875" style="199" customWidth="1"/>
  </cols>
  <sheetData>
    <row r="1" s="199" customFormat="1" ht="9.75" customHeight="1"/>
    <row r="2" spans="1:7" ht="24.75" customHeight="1">
      <c r="A2" s="283" t="s">
        <v>606</v>
      </c>
      <c r="B2" s="283"/>
      <c r="C2" s="283"/>
      <c r="D2" s="283"/>
      <c r="E2" s="283"/>
      <c r="F2" s="283"/>
      <c r="G2" s="283"/>
    </row>
    <row r="3" s="199" customFormat="1" ht="9.75" customHeight="1"/>
    <row r="4" spans="1:10" ht="36.75" customHeight="1">
      <c r="A4" s="433" t="s">
        <v>607</v>
      </c>
      <c r="B4" s="433"/>
      <c r="C4" s="433"/>
      <c r="D4" s="433" t="s">
        <v>608</v>
      </c>
      <c r="E4" s="433"/>
      <c r="F4" s="433"/>
      <c r="G4" s="433"/>
      <c r="H4" s="433"/>
      <c r="I4" s="433"/>
      <c r="J4" s="433"/>
    </row>
    <row r="5" spans="1:10" ht="18.75" customHeight="1">
      <c r="A5" s="433" t="s">
        <v>609</v>
      </c>
      <c r="B5" s="433"/>
      <c r="C5" s="433"/>
      <c r="D5" s="433" t="s">
        <v>656</v>
      </c>
      <c r="E5" s="433"/>
      <c r="F5" s="433"/>
      <c r="G5" s="433"/>
      <c r="H5" s="433"/>
      <c r="I5" s="433"/>
      <c r="J5" s="433"/>
    </row>
    <row r="6" s="199" customFormat="1" ht="9.75" customHeight="1"/>
    <row r="7" spans="1:29" ht="18.75" customHeight="1" outlineLevel="1">
      <c r="A7" s="425" t="s">
        <v>611</v>
      </c>
      <c r="B7" s="425"/>
      <c r="C7" s="429" t="s">
        <v>612</v>
      </c>
      <c r="D7" s="429"/>
      <c r="E7" s="436" t="s">
        <v>613</v>
      </c>
      <c r="F7" s="436"/>
      <c r="G7" s="436" t="s">
        <v>614</v>
      </c>
      <c r="H7" s="436"/>
      <c r="I7" s="436"/>
      <c r="J7" s="431" t="s">
        <v>657</v>
      </c>
      <c r="K7" s="431"/>
      <c r="L7" s="431" t="s">
        <v>615</v>
      </c>
      <c r="M7" s="431" t="s">
        <v>616</v>
      </c>
      <c r="N7" s="431" t="s">
        <v>617</v>
      </c>
      <c r="O7" s="431" t="s">
        <v>618</v>
      </c>
      <c r="P7" s="431" t="s">
        <v>619</v>
      </c>
      <c r="Q7" s="431" t="s">
        <v>620</v>
      </c>
      <c r="R7" s="431" t="s">
        <v>622</v>
      </c>
      <c r="S7" s="431" t="s">
        <v>658</v>
      </c>
      <c r="T7" s="431" t="s">
        <v>650</v>
      </c>
      <c r="U7" s="429" t="s">
        <v>625</v>
      </c>
      <c r="V7" s="431" t="s">
        <v>626</v>
      </c>
      <c r="W7" s="431" t="s">
        <v>628</v>
      </c>
      <c r="X7" s="429" t="s">
        <v>629</v>
      </c>
      <c r="Y7" s="431" t="s">
        <v>630</v>
      </c>
      <c r="Z7" s="431" t="s">
        <v>631</v>
      </c>
      <c r="AA7" s="431" t="s">
        <v>632</v>
      </c>
      <c r="AB7" s="429" t="s">
        <v>633</v>
      </c>
      <c r="AC7" s="429" t="s">
        <v>637</v>
      </c>
    </row>
    <row r="8" spans="1:29" ht="18.75" customHeight="1" outlineLevel="1">
      <c r="A8" s="425" t="s">
        <v>638</v>
      </c>
      <c r="B8" s="425"/>
      <c r="C8" s="434"/>
      <c r="D8" s="435"/>
      <c r="E8" s="284" t="s">
        <v>639</v>
      </c>
      <c r="F8" s="284" t="s">
        <v>640</v>
      </c>
      <c r="G8" s="425" t="s">
        <v>639</v>
      </c>
      <c r="H8" s="425"/>
      <c r="I8" s="284" t="s">
        <v>640</v>
      </c>
      <c r="J8" s="437"/>
      <c r="K8" s="438"/>
      <c r="L8" s="432"/>
      <c r="M8" s="432"/>
      <c r="N8" s="432"/>
      <c r="O8" s="432"/>
      <c r="P8" s="432"/>
      <c r="Q8" s="432"/>
      <c r="R8" s="432"/>
      <c r="S8" s="432"/>
      <c r="T8" s="432"/>
      <c r="U8" s="430"/>
      <c r="V8" s="432"/>
      <c r="W8" s="432"/>
      <c r="X8" s="430"/>
      <c r="Y8" s="432"/>
      <c r="Z8" s="432"/>
      <c r="AA8" s="432"/>
      <c r="AB8" s="430"/>
      <c r="AC8" s="430"/>
    </row>
    <row r="9" spans="1:29" ht="21.75" customHeight="1" outlineLevel="1">
      <c r="A9" s="426" t="s">
        <v>641</v>
      </c>
      <c r="B9" s="426"/>
      <c r="C9" s="285"/>
      <c r="D9" s="286"/>
      <c r="E9" s="287">
        <v>834</v>
      </c>
      <c r="F9" s="288">
        <v>6651</v>
      </c>
      <c r="G9" s="427">
        <v>170</v>
      </c>
      <c r="H9" s="427"/>
      <c r="I9" s="288">
        <v>1277</v>
      </c>
      <c r="J9" s="428">
        <v>49.8</v>
      </c>
      <c r="K9" s="428"/>
      <c r="L9" s="289">
        <v>3487.7</v>
      </c>
      <c r="M9" s="289">
        <v>981158.68</v>
      </c>
      <c r="N9" s="289">
        <v>150590.06</v>
      </c>
      <c r="O9" s="289">
        <v>19284.22</v>
      </c>
      <c r="P9" s="289">
        <v>24443.04</v>
      </c>
      <c r="Q9" s="289">
        <v>3447.53</v>
      </c>
      <c r="R9" s="289">
        <v>71567</v>
      </c>
      <c r="S9" s="289">
        <v>127137</v>
      </c>
      <c r="T9" s="289">
        <v>523160.57</v>
      </c>
      <c r="U9" s="289">
        <v>1904325.6</v>
      </c>
      <c r="V9" s="289">
        <v>239644</v>
      </c>
      <c r="W9" s="289">
        <v>9331.34</v>
      </c>
      <c r="X9" s="289">
        <v>248975.34</v>
      </c>
      <c r="Y9" s="289">
        <v>558000</v>
      </c>
      <c r="Z9" s="289">
        <v>815861.87</v>
      </c>
      <c r="AA9" s="289">
        <v>281488.39</v>
      </c>
      <c r="AB9" s="289">
        <v>1655350.26</v>
      </c>
      <c r="AC9" s="290"/>
    </row>
    <row r="10" spans="1:29" ht="15" outlineLevel="2">
      <c r="A10" s="386" t="s">
        <v>642</v>
      </c>
      <c r="B10" s="386"/>
      <c r="C10" s="207"/>
      <c r="D10" s="208"/>
      <c r="E10" s="281">
        <v>216</v>
      </c>
      <c r="F10" s="210">
        <v>1722</v>
      </c>
      <c r="G10" s="387">
        <v>33</v>
      </c>
      <c r="H10" s="387"/>
      <c r="I10" s="281">
        <v>263</v>
      </c>
      <c r="J10" s="421">
        <v>12.36</v>
      </c>
      <c r="K10" s="421"/>
      <c r="L10" s="282">
        <v>1641.68</v>
      </c>
      <c r="M10" s="282">
        <v>251742.66</v>
      </c>
      <c r="N10" s="282">
        <v>39933.92</v>
      </c>
      <c r="O10" s="282">
        <v>13806.32</v>
      </c>
      <c r="P10" s="282">
        <v>11296.08</v>
      </c>
      <c r="Q10" s="282">
        <v>3447.53</v>
      </c>
      <c r="R10" s="282">
        <v>12170</v>
      </c>
      <c r="S10" s="282">
        <v>32746</v>
      </c>
      <c r="T10" s="282">
        <v>134259.55</v>
      </c>
      <c r="U10" s="282">
        <v>501056.1</v>
      </c>
      <c r="V10" s="282">
        <v>62320</v>
      </c>
      <c r="W10" s="282">
        <v>4759.42</v>
      </c>
      <c r="X10" s="282">
        <v>67079.42</v>
      </c>
      <c r="Y10" s="282">
        <v>141600</v>
      </c>
      <c r="Z10" s="282">
        <v>207066.82</v>
      </c>
      <c r="AA10" s="282">
        <v>85309.86</v>
      </c>
      <c r="AB10" s="282">
        <v>433976.68</v>
      </c>
      <c r="AC10" s="225"/>
    </row>
    <row r="11" spans="1:29" ht="15" outlineLevel="2">
      <c r="A11" s="386" t="s">
        <v>643</v>
      </c>
      <c r="B11" s="386"/>
      <c r="C11" s="207"/>
      <c r="D11" s="208"/>
      <c r="E11" s="281">
        <v>192</v>
      </c>
      <c r="F11" s="210">
        <v>1532</v>
      </c>
      <c r="G11" s="387">
        <v>62</v>
      </c>
      <c r="H11" s="387"/>
      <c r="I11" s="281">
        <v>447</v>
      </c>
      <c r="J11" s="421">
        <v>12.24</v>
      </c>
      <c r="K11" s="421"/>
      <c r="L11" s="212"/>
      <c r="M11" s="282">
        <v>225414.03</v>
      </c>
      <c r="N11" s="282">
        <v>35542.52</v>
      </c>
      <c r="O11" s="282">
        <v>5477.9</v>
      </c>
      <c r="P11" s="282">
        <v>13146.96</v>
      </c>
      <c r="Q11" s="212"/>
      <c r="R11" s="282">
        <v>47657</v>
      </c>
      <c r="S11" s="282">
        <v>28899</v>
      </c>
      <c r="T11" s="282">
        <v>119680.27</v>
      </c>
      <c r="U11" s="282">
        <v>475829.92</v>
      </c>
      <c r="V11" s="282">
        <v>60218</v>
      </c>
      <c r="W11" s="282">
        <v>4571.92</v>
      </c>
      <c r="X11" s="282">
        <v>64789.92</v>
      </c>
      <c r="Y11" s="282">
        <v>134900</v>
      </c>
      <c r="Z11" s="282">
        <v>203458.07</v>
      </c>
      <c r="AA11" s="282">
        <v>72681.93</v>
      </c>
      <c r="AB11" s="282">
        <v>411040</v>
      </c>
      <c r="AC11" s="225"/>
    </row>
    <row r="12" spans="1:29" ht="15" outlineLevel="2">
      <c r="A12" s="386" t="s">
        <v>644</v>
      </c>
      <c r="B12" s="386"/>
      <c r="C12" s="207"/>
      <c r="D12" s="208"/>
      <c r="E12" s="281">
        <v>227</v>
      </c>
      <c r="F12" s="210">
        <v>1809</v>
      </c>
      <c r="G12" s="387">
        <v>22</v>
      </c>
      <c r="H12" s="387"/>
      <c r="I12" s="281">
        <v>176</v>
      </c>
      <c r="J12" s="421">
        <v>14.88</v>
      </c>
      <c r="K12" s="421"/>
      <c r="L12" s="282">
        <v>1846.02</v>
      </c>
      <c r="M12" s="282">
        <v>297333.73</v>
      </c>
      <c r="N12" s="282">
        <v>42562.3</v>
      </c>
      <c r="O12" s="212"/>
      <c r="P12" s="212"/>
      <c r="Q12" s="212"/>
      <c r="R12" s="282">
        <v>7600</v>
      </c>
      <c r="S12" s="282">
        <v>36822</v>
      </c>
      <c r="T12" s="282">
        <v>159082.14</v>
      </c>
      <c r="U12" s="282">
        <v>545261.07</v>
      </c>
      <c r="V12" s="282">
        <v>69426</v>
      </c>
      <c r="W12" s="212"/>
      <c r="X12" s="282">
        <v>69426</v>
      </c>
      <c r="Y12" s="282">
        <v>167100</v>
      </c>
      <c r="Z12" s="282">
        <v>239002.37</v>
      </c>
      <c r="AA12" s="282">
        <v>69732.7</v>
      </c>
      <c r="AB12" s="282">
        <v>475835.07</v>
      </c>
      <c r="AC12" s="225"/>
    </row>
    <row r="13" spans="1:29" ht="15" outlineLevel="2">
      <c r="A13" s="386" t="s">
        <v>645</v>
      </c>
      <c r="B13" s="386"/>
      <c r="C13" s="207"/>
      <c r="D13" s="208"/>
      <c r="E13" s="281">
        <v>199</v>
      </c>
      <c r="F13" s="210">
        <v>1588</v>
      </c>
      <c r="G13" s="387">
        <v>53</v>
      </c>
      <c r="H13" s="387"/>
      <c r="I13" s="281">
        <v>391</v>
      </c>
      <c r="J13" s="421">
        <v>10.32</v>
      </c>
      <c r="K13" s="421"/>
      <c r="L13" s="212"/>
      <c r="M13" s="282">
        <v>206668.26</v>
      </c>
      <c r="N13" s="282">
        <v>32551.32</v>
      </c>
      <c r="O13" s="212"/>
      <c r="P13" s="212"/>
      <c r="Q13" s="212"/>
      <c r="R13" s="282">
        <v>4140</v>
      </c>
      <c r="S13" s="282">
        <v>28670</v>
      </c>
      <c r="T13" s="282">
        <v>110138.61</v>
      </c>
      <c r="U13" s="282">
        <v>382178.51</v>
      </c>
      <c r="V13" s="282">
        <v>47680</v>
      </c>
      <c r="W13" s="212"/>
      <c r="X13" s="282">
        <v>47680</v>
      </c>
      <c r="Y13" s="282">
        <v>114400</v>
      </c>
      <c r="Z13" s="282">
        <v>166334.61</v>
      </c>
      <c r="AA13" s="282">
        <v>53763.9</v>
      </c>
      <c r="AB13" s="282">
        <v>334498.51</v>
      </c>
      <c r="AC13" s="225"/>
    </row>
    <row r="14" spans="1:29" ht="15" outlineLevel="1">
      <c r="A14" s="422" t="s">
        <v>204</v>
      </c>
      <c r="B14" s="422"/>
      <c r="C14" s="291"/>
      <c r="D14" s="292"/>
      <c r="E14" s="293">
        <v>834</v>
      </c>
      <c r="F14" s="294">
        <v>6651</v>
      </c>
      <c r="G14" s="423">
        <v>170</v>
      </c>
      <c r="H14" s="423"/>
      <c r="I14" s="294">
        <v>1277</v>
      </c>
      <c r="J14" s="424">
        <v>49.8</v>
      </c>
      <c r="K14" s="424"/>
      <c r="L14" s="295">
        <v>3487.7</v>
      </c>
      <c r="M14" s="295">
        <v>981158.68</v>
      </c>
      <c r="N14" s="295">
        <v>150590.06</v>
      </c>
      <c r="O14" s="295">
        <v>19284.22</v>
      </c>
      <c r="P14" s="295">
        <v>24443.04</v>
      </c>
      <c r="Q14" s="295">
        <v>3447.53</v>
      </c>
      <c r="R14" s="295">
        <v>71567</v>
      </c>
      <c r="S14" s="295">
        <v>127137</v>
      </c>
      <c r="T14" s="295">
        <v>523160.57</v>
      </c>
      <c r="U14" s="295">
        <v>1904325.6</v>
      </c>
      <c r="V14" s="295">
        <v>239644</v>
      </c>
      <c r="W14" s="295">
        <v>9331.34</v>
      </c>
      <c r="X14" s="295">
        <v>248975.34</v>
      </c>
      <c r="Y14" s="295">
        <v>558000</v>
      </c>
      <c r="Z14" s="295">
        <v>815861.87</v>
      </c>
      <c r="AA14" s="295">
        <v>281488.39</v>
      </c>
      <c r="AB14" s="295">
        <v>1655350.26</v>
      </c>
      <c r="AC14" s="296"/>
    </row>
    <row r="15" s="199" customFormat="1" ht="9.75" customHeight="1" outlineLevel="1"/>
  </sheetData>
  <sheetProtection/>
  <mergeCells count="47">
    <mergeCell ref="A4:C4"/>
    <mergeCell ref="D4:J4"/>
    <mergeCell ref="A5:C5"/>
    <mergeCell ref="D5:J5"/>
    <mergeCell ref="A7:B7"/>
    <mergeCell ref="C7:D8"/>
    <mergeCell ref="E7:F7"/>
    <mergeCell ref="G7:I7"/>
    <mergeCell ref="J7:K8"/>
    <mergeCell ref="A8:B8"/>
    <mergeCell ref="L7:L8"/>
    <mergeCell ref="M7:M8"/>
    <mergeCell ref="N7:N8"/>
    <mergeCell ref="O7:O8"/>
    <mergeCell ref="P7:P8"/>
    <mergeCell ref="Q7:Q8"/>
    <mergeCell ref="R7:R8"/>
    <mergeCell ref="S7:S8"/>
    <mergeCell ref="T7:T8"/>
    <mergeCell ref="U7:U8"/>
    <mergeCell ref="V7:V8"/>
    <mergeCell ref="W7:W8"/>
    <mergeCell ref="X7:X8"/>
    <mergeCell ref="Y7:Y8"/>
    <mergeCell ref="Z7:Z8"/>
    <mergeCell ref="AA7:AA8"/>
    <mergeCell ref="AB7:AB8"/>
    <mergeCell ref="AC7:AC8"/>
    <mergeCell ref="G8:H8"/>
    <mergeCell ref="A9:B9"/>
    <mergeCell ref="G9:H9"/>
    <mergeCell ref="J9:K9"/>
    <mergeCell ref="A10:B10"/>
    <mergeCell ref="G10:H10"/>
    <mergeCell ref="J10:K10"/>
    <mergeCell ref="A11:B11"/>
    <mergeCell ref="G11:H11"/>
    <mergeCell ref="J11:K11"/>
    <mergeCell ref="A12:B12"/>
    <mergeCell ref="G12:H12"/>
    <mergeCell ref="J12:K12"/>
    <mergeCell ref="A13:B13"/>
    <mergeCell ref="G13:H13"/>
    <mergeCell ref="J13:K13"/>
    <mergeCell ref="A14:B14"/>
    <mergeCell ref="G14:H14"/>
    <mergeCell ref="J14:K14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61"/>
  <sheetViews>
    <sheetView zoomScale="85" zoomScaleNormal="85" zoomScalePageLayoutView="0" workbookViewId="0" topLeftCell="A31">
      <selection activeCell="E56" sqref="E56"/>
    </sheetView>
  </sheetViews>
  <sheetFormatPr defaultColWidth="9.140625" defaultRowHeight="15" outlineLevelRow="1"/>
  <cols>
    <col min="1" max="1" width="16.00390625" style="0" customWidth="1"/>
    <col min="2" max="2" width="14.00390625" style="0" customWidth="1"/>
    <col min="3" max="7" width="16.00390625" style="0" customWidth="1"/>
    <col min="8" max="8" width="1.421875" style="0" customWidth="1"/>
    <col min="9" max="9" width="14.57421875" style="0" customWidth="1"/>
    <col min="10" max="10" width="12.7109375" style="0" bestFit="1" customWidth="1"/>
  </cols>
  <sheetData>
    <row r="1" spans="1:8" ht="12.75" customHeight="1">
      <c r="A1" s="447" t="s">
        <v>162</v>
      </c>
      <c r="B1" s="447"/>
      <c r="C1" s="447"/>
      <c r="D1" s="447"/>
      <c r="E1" s="447"/>
      <c r="F1" s="447"/>
      <c r="G1" s="447"/>
      <c r="H1" s="447"/>
    </row>
    <row r="2" spans="1:8" ht="15.75" customHeight="1">
      <c r="A2" s="448" t="s">
        <v>246</v>
      </c>
      <c r="B2" s="448"/>
      <c r="C2" s="448"/>
      <c r="D2" s="448"/>
      <c r="E2" s="448"/>
      <c r="F2" s="448"/>
      <c r="G2" s="448"/>
      <c r="H2" s="448"/>
    </row>
    <row r="3" ht="1.5" customHeight="1"/>
    <row r="4" spans="1:8" ht="11.25" customHeight="1">
      <c r="A4" s="173" t="s">
        <v>163</v>
      </c>
      <c r="B4" s="449" t="s">
        <v>164</v>
      </c>
      <c r="C4" s="449"/>
      <c r="D4" s="449"/>
      <c r="E4" s="449"/>
      <c r="F4" s="449"/>
      <c r="G4" s="449"/>
      <c r="H4" s="449"/>
    </row>
    <row r="5" ht="1.5" customHeight="1"/>
    <row r="6" spans="1:8" ht="11.25" customHeight="1">
      <c r="A6" s="173" t="s">
        <v>165</v>
      </c>
      <c r="B6" s="449" t="s">
        <v>166</v>
      </c>
      <c r="C6" s="449"/>
      <c r="D6" s="449"/>
      <c r="E6" s="449"/>
      <c r="F6" s="449"/>
      <c r="G6" s="449"/>
      <c r="H6" s="449"/>
    </row>
    <row r="7" ht="1.5" customHeight="1"/>
    <row r="8" spans="1:9" ht="12.75" customHeight="1">
      <c r="A8" s="445" t="s">
        <v>167</v>
      </c>
      <c r="B8" s="445"/>
      <c r="C8" s="446" t="s">
        <v>168</v>
      </c>
      <c r="D8" s="446"/>
      <c r="E8" s="446" t="s">
        <v>169</v>
      </c>
      <c r="F8" s="446"/>
      <c r="G8" s="446" t="s">
        <v>170</v>
      </c>
      <c r="H8" s="446"/>
      <c r="I8" s="446"/>
    </row>
    <row r="9" spans="1:9" ht="11.25" customHeight="1">
      <c r="A9" s="440" t="s">
        <v>171</v>
      </c>
      <c r="B9" s="440"/>
      <c r="C9" s="443" t="s">
        <v>172</v>
      </c>
      <c r="D9" s="443" t="s">
        <v>173</v>
      </c>
      <c r="E9" s="443" t="s">
        <v>172</v>
      </c>
      <c r="F9" s="443" t="s">
        <v>173</v>
      </c>
      <c r="G9" s="443" t="s">
        <v>172</v>
      </c>
      <c r="H9" s="443" t="s">
        <v>173</v>
      </c>
      <c r="I9" s="443"/>
    </row>
    <row r="10" spans="1:9" ht="11.25" customHeight="1">
      <c r="A10" s="441"/>
      <c r="B10" s="442"/>
      <c r="C10" s="444"/>
      <c r="D10" s="444"/>
      <c r="E10" s="444"/>
      <c r="F10" s="444"/>
      <c r="G10" s="444"/>
      <c r="H10" s="450"/>
      <c r="I10" s="451"/>
    </row>
    <row r="11" spans="1:9" ht="12.75" customHeight="1">
      <c r="A11" s="452" t="s">
        <v>247</v>
      </c>
      <c r="B11" s="452"/>
      <c r="C11" s="83"/>
      <c r="D11" s="83"/>
      <c r="E11" s="84">
        <v>1292365.64</v>
      </c>
      <c r="F11" s="84">
        <v>1292365.64</v>
      </c>
      <c r="G11" s="83"/>
      <c r="H11" s="85"/>
      <c r="I11" s="86"/>
    </row>
    <row r="12" spans="1:12" ht="12" customHeight="1" outlineLevel="1">
      <c r="A12" s="439" t="s">
        <v>174</v>
      </c>
      <c r="B12" s="439"/>
      <c r="C12" s="87"/>
      <c r="D12" s="87"/>
      <c r="E12" s="87"/>
      <c r="F12" s="88">
        <v>1292365.64</v>
      </c>
      <c r="G12" s="87"/>
      <c r="H12" s="89"/>
      <c r="I12" s="90"/>
      <c r="J12" s="98">
        <f>F12+'Расходы по 08_льготное ТП'!G72</f>
        <v>12151944.479999999</v>
      </c>
      <c r="L12" t="s">
        <v>579</v>
      </c>
    </row>
    <row r="13" spans="1:15" ht="28.5" customHeight="1" outlineLevel="1">
      <c r="A13" s="439" t="s">
        <v>248</v>
      </c>
      <c r="B13" s="439"/>
      <c r="C13" s="87"/>
      <c r="D13" s="87"/>
      <c r="E13" s="91">
        <v>133.6</v>
      </c>
      <c r="F13" s="87"/>
      <c r="G13" s="87"/>
      <c r="H13" s="89"/>
      <c r="I13" s="90"/>
      <c r="J13">
        <f>J12/1000-'Приложение № 3'!C14</f>
        <v>8788.692787599997</v>
      </c>
      <c r="L13">
        <v>168</v>
      </c>
      <c r="M13" t="s">
        <v>580</v>
      </c>
      <c r="O13" s="98">
        <f>'[5]до 15 кВт '!$H$38+'[5]до 15 кВт '!$H$35</f>
        <v>5248.211</v>
      </c>
    </row>
    <row r="14" spans="1:15" ht="12" customHeight="1" outlineLevel="1">
      <c r="A14" s="439" t="s">
        <v>175</v>
      </c>
      <c r="B14" s="439"/>
      <c r="C14" s="87"/>
      <c r="D14" s="87"/>
      <c r="E14" s="232">
        <v>19679.13</v>
      </c>
      <c r="F14" s="87"/>
      <c r="G14" s="87"/>
      <c r="H14" s="89"/>
      <c r="I14" s="90"/>
      <c r="L14">
        <v>41</v>
      </c>
      <c r="M14" t="s">
        <v>581</v>
      </c>
      <c r="O14" s="98">
        <f>'[5]до 150 кВт_2019'!$H$27</f>
        <v>6179.178</v>
      </c>
    </row>
    <row r="15" spans="1:15" ht="12" customHeight="1" outlineLevel="1">
      <c r="A15" s="439" t="s">
        <v>249</v>
      </c>
      <c r="B15" s="439"/>
      <c r="C15" s="87"/>
      <c r="D15" s="87"/>
      <c r="E15" s="233">
        <v>109.57</v>
      </c>
      <c r="F15" s="87"/>
      <c r="G15" s="87"/>
      <c r="H15" s="89"/>
      <c r="I15" s="90"/>
      <c r="L15">
        <v>53</v>
      </c>
      <c r="M15" t="s">
        <v>582</v>
      </c>
      <c r="O15">
        <f>L15*('Приложение №4 2019'!C15+'Приложение №4 2019'!C17)/1000</f>
        <v>521.3268900091603</v>
      </c>
    </row>
    <row r="16" spans="1:16" ht="12" customHeight="1" outlineLevel="1">
      <c r="A16" s="439" t="s">
        <v>176</v>
      </c>
      <c r="B16" s="439"/>
      <c r="C16" s="87"/>
      <c r="D16" s="87"/>
      <c r="E16" s="233">
        <v>619.19</v>
      </c>
      <c r="F16" s="87"/>
      <c r="G16" s="87"/>
      <c r="H16" s="89"/>
      <c r="I16" s="90"/>
      <c r="O16" s="174">
        <f>SUM(O13:O15)</f>
        <v>11948.71589000916</v>
      </c>
      <c r="P16" s="98">
        <f>O16-'Приложение № 3'!C14</f>
        <v>8585.464197609159</v>
      </c>
    </row>
    <row r="17" spans="1:15" ht="12" customHeight="1" outlineLevel="1">
      <c r="A17" s="439" t="s">
        <v>250</v>
      </c>
      <c r="B17" s="439"/>
      <c r="C17" s="87"/>
      <c r="D17" s="87"/>
      <c r="E17" s="233">
        <v>263.41</v>
      </c>
      <c r="F17" s="87"/>
      <c r="G17" s="87"/>
      <c r="H17" s="89"/>
      <c r="I17" s="90"/>
      <c r="O17">
        <f>J12/1000-O16</f>
        <v>203.22858999083837</v>
      </c>
    </row>
    <row r="18" spans="1:9" ht="12" customHeight="1" outlineLevel="1">
      <c r="A18" s="439" t="s">
        <v>251</v>
      </c>
      <c r="B18" s="439"/>
      <c r="C18" s="87"/>
      <c r="D18" s="87"/>
      <c r="E18" s="233">
        <v>4.61</v>
      </c>
      <c r="F18" s="87"/>
      <c r="G18" s="87"/>
      <c r="H18" s="89"/>
      <c r="I18" s="90"/>
    </row>
    <row r="19" spans="1:9" ht="23.25" customHeight="1" outlineLevel="1">
      <c r="A19" s="439" t="s">
        <v>252</v>
      </c>
      <c r="B19" s="439"/>
      <c r="C19" s="87"/>
      <c r="D19" s="87"/>
      <c r="E19" s="88">
        <v>5635.15</v>
      </c>
      <c r="F19" s="87"/>
      <c r="G19" s="87"/>
      <c r="H19" s="89"/>
      <c r="I19" s="90"/>
    </row>
    <row r="20" spans="1:9" ht="23.25" customHeight="1" outlineLevel="1">
      <c r="A20" s="439" t="s">
        <v>253</v>
      </c>
      <c r="B20" s="439"/>
      <c r="C20" s="87"/>
      <c r="D20" s="87"/>
      <c r="E20" s="91">
        <v>158.19</v>
      </c>
      <c r="F20" s="87"/>
      <c r="G20" s="87"/>
      <c r="H20" s="89"/>
      <c r="I20" s="90"/>
    </row>
    <row r="21" spans="1:9" ht="12" customHeight="1" outlineLevel="1">
      <c r="A21" s="439" t="s">
        <v>177</v>
      </c>
      <c r="B21" s="439"/>
      <c r="C21" s="87"/>
      <c r="D21" s="87"/>
      <c r="E21" s="232">
        <v>6121.27</v>
      </c>
      <c r="F21" s="87"/>
      <c r="G21" s="87"/>
      <c r="H21" s="89"/>
      <c r="I21" s="90"/>
    </row>
    <row r="22" spans="1:9" ht="12" customHeight="1" outlineLevel="1">
      <c r="A22" s="439" t="s">
        <v>178</v>
      </c>
      <c r="B22" s="439"/>
      <c r="C22" s="87"/>
      <c r="D22" s="87"/>
      <c r="E22" s="232">
        <v>1651.15</v>
      </c>
      <c r="F22" s="87"/>
      <c r="G22" s="87"/>
      <c r="H22" s="89"/>
      <c r="I22" s="90"/>
    </row>
    <row r="23" spans="1:9" ht="12" customHeight="1" outlineLevel="1">
      <c r="A23" s="439" t="s">
        <v>254</v>
      </c>
      <c r="B23" s="439"/>
      <c r="C23" s="87"/>
      <c r="D23" s="87"/>
      <c r="E23" s="232">
        <v>58056.9</v>
      </c>
      <c r="F23" s="87"/>
      <c r="G23" s="87"/>
      <c r="H23" s="89"/>
      <c r="I23" s="90"/>
    </row>
    <row r="24" spans="1:9" ht="23.25" customHeight="1" outlineLevel="1">
      <c r="A24" s="439" t="s">
        <v>255</v>
      </c>
      <c r="B24" s="439"/>
      <c r="C24" s="87"/>
      <c r="D24" s="87"/>
      <c r="E24" s="232">
        <v>3847.39</v>
      </c>
      <c r="F24" s="87"/>
      <c r="G24" s="87"/>
      <c r="H24" s="89"/>
      <c r="I24" s="90"/>
    </row>
    <row r="25" spans="1:9" ht="12" customHeight="1" outlineLevel="1">
      <c r="A25" s="439" t="s">
        <v>256</v>
      </c>
      <c r="B25" s="439"/>
      <c r="C25" s="87"/>
      <c r="D25" s="87"/>
      <c r="E25" s="234">
        <v>-9691.87</v>
      </c>
      <c r="F25" s="87"/>
      <c r="G25" s="87"/>
      <c r="H25" s="89"/>
      <c r="I25" s="90"/>
    </row>
    <row r="26" spans="1:9" ht="12" customHeight="1" outlineLevel="1">
      <c r="A26" s="439" t="s">
        <v>257</v>
      </c>
      <c r="B26" s="439"/>
      <c r="C26" s="87"/>
      <c r="D26" s="87"/>
      <c r="E26" s="233">
        <v>17.41</v>
      </c>
      <c r="F26" s="87"/>
      <c r="G26" s="87"/>
      <c r="H26" s="89"/>
      <c r="I26" s="90"/>
    </row>
    <row r="27" spans="1:9" ht="12" customHeight="1" outlineLevel="1">
      <c r="A27" s="439" t="s">
        <v>179</v>
      </c>
      <c r="B27" s="439"/>
      <c r="C27" s="87"/>
      <c r="D27" s="87"/>
      <c r="E27" s="233">
        <v>850.96</v>
      </c>
      <c r="F27" s="87"/>
      <c r="G27" s="87"/>
      <c r="H27" s="89"/>
      <c r="I27" s="90"/>
    </row>
    <row r="28" spans="1:9" ht="12" customHeight="1" outlineLevel="1">
      <c r="A28" s="439" t="s">
        <v>258</v>
      </c>
      <c r="B28" s="439"/>
      <c r="C28" s="87"/>
      <c r="D28" s="87"/>
      <c r="E28" s="232">
        <v>2658.22</v>
      </c>
      <c r="F28" s="87"/>
      <c r="G28" s="87"/>
      <c r="H28" s="89"/>
      <c r="I28" s="90"/>
    </row>
    <row r="29" spans="1:9" ht="12" customHeight="1" outlineLevel="1">
      <c r="A29" s="439" t="s">
        <v>259</v>
      </c>
      <c r="B29" s="439"/>
      <c r="C29" s="87"/>
      <c r="D29" s="87"/>
      <c r="E29" s="232">
        <v>2419.62</v>
      </c>
      <c r="F29" s="87"/>
      <c r="G29" s="87"/>
      <c r="H29" s="89"/>
      <c r="I29" s="90"/>
    </row>
    <row r="30" spans="1:9" ht="12" customHeight="1" outlineLevel="1">
      <c r="A30" s="439" t="s">
        <v>260</v>
      </c>
      <c r="B30" s="439"/>
      <c r="C30" s="87"/>
      <c r="D30" s="87"/>
      <c r="E30" s="233">
        <v>613.74</v>
      </c>
      <c r="F30" s="87"/>
      <c r="G30" s="87"/>
      <c r="H30" s="89"/>
      <c r="I30" s="90"/>
    </row>
    <row r="31" spans="1:9" ht="23.25" customHeight="1" outlineLevel="1">
      <c r="A31" s="439" t="s">
        <v>180</v>
      </c>
      <c r="B31" s="439"/>
      <c r="C31" s="87"/>
      <c r="D31" s="87"/>
      <c r="E31" s="233">
        <v>870.38</v>
      </c>
      <c r="F31" s="87"/>
      <c r="G31" s="87"/>
      <c r="H31" s="89"/>
      <c r="I31" s="90"/>
    </row>
    <row r="32" spans="1:9" ht="23.25" customHeight="1" outlineLevel="1">
      <c r="A32" s="439" t="s">
        <v>181</v>
      </c>
      <c r="B32" s="439"/>
      <c r="C32" s="87"/>
      <c r="D32" s="87"/>
      <c r="E32" s="232">
        <v>6979.51</v>
      </c>
      <c r="F32" s="87"/>
      <c r="G32" s="87"/>
      <c r="H32" s="89"/>
      <c r="I32" s="90"/>
    </row>
    <row r="33" spans="1:9" ht="12" customHeight="1" outlineLevel="1">
      <c r="A33" s="439" t="s">
        <v>182</v>
      </c>
      <c r="B33" s="439"/>
      <c r="C33" s="87"/>
      <c r="D33" s="87"/>
      <c r="E33" s="233">
        <v>673.99</v>
      </c>
      <c r="F33" s="87"/>
      <c r="G33" s="87"/>
      <c r="H33" s="89"/>
      <c r="I33" s="90"/>
    </row>
    <row r="34" spans="1:9" ht="12" customHeight="1" outlineLevel="1">
      <c r="A34" s="439" t="s">
        <v>183</v>
      </c>
      <c r="B34" s="439"/>
      <c r="C34" s="87"/>
      <c r="D34" s="87"/>
      <c r="E34" s="88">
        <v>624545.81</v>
      </c>
      <c r="F34" s="87"/>
      <c r="G34" s="87"/>
      <c r="H34" s="89"/>
      <c r="I34" s="90"/>
    </row>
    <row r="35" spans="1:9" ht="12" customHeight="1" outlineLevel="1">
      <c r="A35" s="439" t="s">
        <v>261</v>
      </c>
      <c r="B35" s="439"/>
      <c r="C35" s="87"/>
      <c r="D35" s="87"/>
      <c r="E35" s="91">
        <v>529.76</v>
      </c>
      <c r="F35" s="87"/>
      <c r="G35" s="87"/>
      <c r="H35" s="89"/>
      <c r="I35" s="90"/>
    </row>
    <row r="36" spans="1:9" ht="34.5" customHeight="1" outlineLevel="1">
      <c r="A36" s="439" t="s">
        <v>184</v>
      </c>
      <c r="B36" s="439"/>
      <c r="C36" s="87"/>
      <c r="D36" s="87"/>
      <c r="E36" s="233">
        <v>3.61</v>
      </c>
      <c r="F36" s="87"/>
      <c r="G36" s="87"/>
      <c r="H36" s="89"/>
      <c r="I36" s="90"/>
    </row>
    <row r="37" spans="1:9" ht="12" customHeight="1" outlineLevel="1">
      <c r="A37" s="439" t="s">
        <v>262</v>
      </c>
      <c r="B37" s="439"/>
      <c r="C37" s="87"/>
      <c r="D37" s="87"/>
      <c r="E37" s="233">
        <v>934.51</v>
      </c>
      <c r="F37" s="87"/>
      <c r="G37" s="87"/>
      <c r="H37" s="89"/>
      <c r="I37" s="90"/>
    </row>
    <row r="38" spans="1:9" ht="12" customHeight="1" outlineLevel="1">
      <c r="A38" s="439" t="s">
        <v>185</v>
      </c>
      <c r="B38" s="439"/>
      <c r="C38" s="87"/>
      <c r="D38" s="87"/>
      <c r="E38" s="232">
        <v>2265.16</v>
      </c>
      <c r="F38" s="87"/>
      <c r="G38" s="87"/>
      <c r="H38" s="89"/>
      <c r="I38" s="90"/>
    </row>
    <row r="39" spans="1:9" ht="12" customHeight="1" outlineLevel="1">
      <c r="A39" s="439" t="s">
        <v>186</v>
      </c>
      <c r="B39" s="439"/>
      <c r="C39" s="87"/>
      <c r="D39" s="87"/>
      <c r="E39" s="233">
        <v>45.65</v>
      </c>
      <c r="F39" s="87"/>
      <c r="G39" s="87"/>
      <c r="H39" s="89"/>
      <c r="I39" s="90"/>
    </row>
    <row r="40" spans="1:9" ht="12" customHeight="1" outlineLevel="1">
      <c r="A40" s="439" t="s">
        <v>187</v>
      </c>
      <c r="B40" s="439"/>
      <c r="C40" s="87"/>
      <c r="D40" s="87"/>
      <c r="E40" s="88">
        <v>53000</v>
      </c>
      <c r="F40" s="87"/>
      <c r="G40" s="87"/>
      <c r="H40" s="89"/>
      <c r="I40" s="90"/>
    </row>
    <row r="41" spans="1:9" ht="23.25" customHeight="1" outlineLevel="1">
      <c r="A41" s="439" t="s">
        <v>263</v>
      </c>
      <c r="B41" s="439"/>
      <c r="C41" s="87"/>
      <c r="D41" s="87"/>
      <c r="E41" s="233">
        <v>116.78</v>
      </c>
      <c r="F41" s="87"/>
      <c r="G41" s="87"/>
      <c r="H41" s="89"/>
      <c r="I41" s="90"/>
    </row>
    <row r="42" spans="1:9" ht="34.5" customHeight="1" outlineLevel="1">
      <c r="A42" s="439" t="s">
        <v>188</v>
      </c>
      <c r="B42" s="439"/>
      <c r="C42" s="87"/>
      <c r="D42" s="87"/>
      <c r="E42" s="91">
        <v>809.86</v>
      </c>
      <c r="F42" s="87"/>
      <c r="G42" s="87"/>
      <c r="H42" s="89"/>
      <c r="I42" s="90"/>
    </row>
    <row r="43" spans="1:9" ht="12" customHeight="1" outlineLevel="1">
      <c r="A43" s="439" t="s">
        <v>189</v>
      </c>
      <c r="B43" s="439"/>
      <c r="C43" s="87"/>
      <c r="D43" s="87"/>
      <c r="E43" s="233">
        <v>71.31</v>
      </c>
      <c r="F43" s="87"/>
      <c r="G43" s="87"/>
      <c r="H43" s="89"/>
      <c r="I43" s="90"/>
    </row>
    <row r="44" spans="1:9" ht="12" customHeight="1" outlineLevel="1">
      <c r="A44" s="439" t="s">
        <v>190</v>
      </c>
      <c r="B44" s="439"/>
      <c r="C44" s="87"/>
      <c r="D44" s="87"/>
      <c r="E44" s="232">
        <v>4655.86</v>
      </c>
      <c r="F44" s="87"/>
      <c r="G44" s="87"/>
      <c r="H44" s="89"/>
      <c r="I44" s="90"/>
    </row>
    <row r="45" spans="1:9" ht="12" customHeight="1" outlineLevel="1">
      <c r="A45" s="439" t="s">
        <v>191</v>
      </c>
      <c r="B45" s="439"/>
      <c r="C45" s="87"/>
      <c r="D45" s="87"/>
      <c r="E45" s="88">
        <v>5930.12</v>
      </c>
      <c r="F45" s="87"/>
      <c r="G45" s="87"/>
      <c r="H45" s="89"/>
      <c r="I45" s="90"/>
    </row>
    <row r="46" spans="1:9" ht="34.5" customHeight="1" outlineLevel="1">
      <c r="A46" s="439" t="s">
        <v>192</v>
      </c>
      <c r="B46" s="439"/>
      <c r="C46" s="87"/>
      <c r="D46" s="87"/>
      <c r="E46" s="91">
        <v>165.76</v>
      </c>
      <c r="F46" s="87"/>
      <c r="G46" s="87"/>
      <c r="H46" s="89"/>
      <c r="I46" s="90"/>
    </row>
    <row r="47" spans="1:9" ht="12" customHeight="1" outlineLevel="1">
      <c r="A47" s="439" t="s">
        <v>264</v>
      </c>
      <c r="B47" s="439"/>
      <c r="C47" s="87"/>
      <c r="D47" s="87"/>
      <c r="E47" s="232">
        <v>1160.58</v>
      </c>
      <c r="F47" s="87"/>
      <c r="G47" s="87"/>
      <c r="H47" s="89"/>
      <c r="I47" s="90"/>
    </row>
    <row r="48" spans="1:9" ht="12" customHeight="1" outlineLevel="1">
      <c r="A48" s="439" t="s">
        <v>193</v>
      </c>
      <c r="B48" s="439"/>
      <c r="C48" s="87"/>
      <c r="D48" s="87"/>
      <c r="E48" s="233">
        <v>788.12</v>
      </c>
      <c r="F48" s="87"/>
      <c r="G48" s="87"/>
      <c r="H48" s="89"/>
      <c r="I48" s="90"/>
    </row>
    <row r="49" spans="1:9" ht="12" customHeight="1" outlineLevel="1">
      <c r="A49" s="439" t="s">
        <v>265</v>
      </c>
      <c r="B49" s="439"/>
      <c r="C49" s="87"/>
      <c r="D49" s="87"/>
      <c r="E49" s="232">
        <v>2801.33</v>
      </c>
      <c r="F49" s="87"/>
      <c r="G49" s="87"/>
      <c r="H49" s="89"/>
      <c r="I49" s="90"/>
    </row>
    <row r="50" spans="1:9" ht="12" customHeight="1" outlineLevel="1">
      <c r="A50" s="439" t="s">
        <v>194</v>
      </c>
      <c r="B50" s="439"/>
      <c r="C50" s="87"/>
      <c r="D50" s="87"/>
      <c r="E50" s="91">
        <v>82.59</v>
      </c>
      <c r="F50" s="87"/>
      <c r="G50" s="87"/>
      <c r="H50" s="89"/>
      <c r="I50" s="90"/>
    </row>
    <row r="51" spans="1:9" ht="23.25" customHeight="1" outlineLevel="1">
      <c r="A51" s="439" t="s">
        <v>195</v>
      </c>
      <c r="B51" s="439"/>
      <c r="C51" s="87"/>
      <c r="D51" s="87"/>
      <c r="E51" s="88">
        <v>1062.02</v>
      </c>
      <c r="F51" s="87"/>
      <c r="G51" s="87"/>
      <c r="H51" s="89"/>
      <c r="I51" s="90"/>
    </row>
    <row r="52" spans="1:9" ht="12" customHeight="1" outlineLevel="1">
      <c r="A52" s="439" t="s">
        <v>196</v>
      </c>
      <c r="B52" s="439"/>
      <c r="C52" s="87"/>
      <c r="D52" s="87"/>
      <c r="E52" s="88">
        <v>186418.25</v>
      </c>
      <c r="F52" s="87"/>
      <c r="G52" s="87"/>
      <c r="H52" s="89"/>
      <c r="I52" s="90"/>
    </row>
    <row r="53" spans="1:9" ht="12" customHeight="1" outlineLevel="1">
      <c r="A53" s="439" t="s">
        <v>197</v>
      </c>
      <c r="B53" s="439"/>
      <c r="C53" s="87"/>
      <c r="D53" s="87"/>
      <c r="E53" s="88">
        <v>248516.01</v>
      </c>
      <c r="F53" s="87"/>
      <c r="G53" s="87"/>
      <c r="H53" s="89"/>
      <c r="I53" s="90"/>
    </row>
    <row r="54" spans="1:9" ht="23.25" customHeight="1" outlineLevel="1">
      <c r="A54" s="439" t="s">
        <v>198</v>
      </c>
      <c r="B54" s="439"/>
      <c r="C54" s="87"/>
      <c r="D54" s="87"/>
      <c r="E54" s="232">
        <v>1760.32</v>
      </c>
      <c r="F54" s="87"/>
      <c r="G54" s="87"/>
      <c r="H54" s="89"/>
      <c r="I54" s="90"/>
    </row>
    <row r="55" spans="1:9" ht="23.25" customHeight="1" outlineLevel="1">
      <c r="A55" s="439" t="s">
        <v>199</v>
      </c>
      <c r="B55" s="439"/>
      <c r="C55" s="87"/>
      <c r="D55" s="87"/>
      <c r="E55" s="232">
        <v>1472.23</v>
      </c>
      <c r="F55" s="87"/>
      <c r="G55" s="87"/>
      <c r="H55" s="89"/>
      <c r="I55" s="90"/>
    </row>
    <row r="56" spans="1:9" ht="23.25" customHeight="1" outlineLevel="1">
      <c r="A56" s="439" t="s">
        <v>200</v>
      </c>
      <c r="B56" s="439"/>
      <c r="C56" s="87"/>
      <c r="D56" s="87"/>
      <c r="E56" s="88">
        <v>31519.78</v>
      </c>
      <c r="F56" s="87"/>
      <c r="G56" s="87"/>
      <c r="H56" s="89"/>
      <c r="I56" s="90"/>
    </row>
    <row r="57" spans="1:9" ht="23.25" customHeight="1" outlineLevel="1">
      <c r="A57" s="439" t="s">
        <v>266</v>
      </c>
      <c r="B57" s="439"/>
      <c r="C57" s="87"/>
      <c r="D57" s="87"/>
      <c r="E57" s="233">
        <v>434.69</v>
      </c>
      <c r="F57" s="87"/>
      <c r="G57" s="87"/>
      <c r="H57" s="89"/>
      <c r="I57" s="90"/>
    </row>
    <row r="58" spans="1:9" ht="23.25" customHeight="1" outlineLevel="1">
      <c r="A58" s="439" t="s">
        <v>201</v>
      </c>
      <c r="B58" s="439"/>
      <c r="C58" s="87"/>
      <c r="D58" s="87"/>
      <c r="E58" s="232">
        <v>1968</v>
      </c>
      <c r="F58" s="87"/>
      <c r="G58" s="87"/>
      <c r="H58" s="89"/>
      <c r="I58" s="90"/>
    </row>
    <row r="59" spans="1:9" ht="23.25" customHeight="1" outlineLevel="1">
      <c r="A59" s="439" t="s">
        <v>202</v>
      </c>
      <c r="B59" s="439"/>
      <c r="C59" s="87"/>
      <c r="D59" s="87"/>
      <c r="E59" s="232">
        <v>18448.24</v>
      </c>
      <c r="F59" s="87"/>
      <c r="G59" s="87"/>
      <c r="H59" s="89"/>
      <c r="I59" s="90"/>
    </row>
    <row r="60" spans="1:9" ht="23.25" customHeight="1" outlineLevel="1">
      <c r="A60" s="439" t="s">
        <v>203</v>
      </c>
      <c r="B60" s="439"/>
      <c r="C60" s="87"/>
      <c r="D60" s="87"/>
      <c r="E60" s="232">
        <v>1187.77</v>
      </c>
      <c r="F60" s="87"/>
      <c r="G60" s="87"/>
      <c r="H60" s="89"/>
      <c r="I60" s="90"/>
    </row>
    <row r="61" spans="1:9" ht="12.75" customHeight="1">
      <c r="A61" s="453" t="s">
        <v>204</v>
      </c>
      <c r="B61" s="453"/>
      <c r="C61" s="92"/>
      <c r="D61" s="92"/>
      <c r="E61" s="93">
        <v>1292365.64</v>
      </c>
      <c r="F61" s="93">
        <v>1292365.64</v>
      </c>
      <c r="G61" s="92"/>
      <c r="H61" s="94"/>
      <c r="I61" s="95"/>
    </row>
  </sheetData>
  <sheetProtection/>
  <mergeCells count="66"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46:B46"/>
    <mergeCell ref="A47:B47"/>
    <mergeCell ref="A40:B40"/>
    <mergeCell ref="A41:B41"/>
    <mergeCell ref="A42:B42"/>
    <mergeCell ref="A43:B43"/>
    <mergeCell ref="A44:B44"/>
    <mergeCell ref="A45:B45"/>
    <mergeCell ref="A36:B36"/>
    <mergeCell ref="A37:B37"/>
    <mergeCell ref="A24:B24"/>
    <mergeCell ref="A25:B25"/>
    <mergeCell ref="A26:B26"/>
    <mergeCell ref="A27:B27"/>
    <mergeCell ref="A38:B38"/>
    <mergeCell ref="A39:B39"/>
    <mergeCell ref="A28:B28"/>
    <mergeCell ref="A29:B29"/>
    <mergeCell ref="A30:B30"/>
    <mergeCell ref="A31:B31"/>
    <mergeCell ref="A32:B32"/>
    <mergeCell ref="A33:B33"/>
    <mergeCell ref="A34:B34"/>
    <mergeCell ref="A35:B35"/>
    <mergeCell ref="A20:B20"/>
    <mergeCell ref="A21:B21"/>
    <mergeCell ref="A22:B22"/>
    <mergeCell ref="A23:B23"/>
    <mergeCell ref="A16:B16"/>
    <mergeCell ref="A17:B17"/>
    <mergeCell ref="A18:B18"/>
    <mergeCell ref="A19:B19"/>
    <mergeCell ref="H9:I10"/>
    <mergeCell ref="A11:B11"/>
    <mergeCell ref="A12:B12"/>
    <mergeCell ref="A13:B13"/>
    <mergeCell ref="D9:D10"/>
    <mergeCell ref="E9:E10"/>
    <mergeCell ref="F9:F10"/>
    <mergeCell ref="G9:G10"/>
    <mergeCell ref="E8:F8"/>
    <mergeCell ref="G8:I8"/>
    <mergeCell ref="A1:H1"/>
    <mergeCell ref="A2:H2"/>
    <mergeCell ref="B4:H4"/>
    <mergeCell ref="B6:H6"/>
    <mergeCell ref="A14:B14"/>
    <mergeCell ref="A15:B15"/>
    <mergeCell ref="A9:B10"/>
    <mergeCell ref="C9:C10"/>
    <mergeCell ref="A8:B8"/>
    <mergeCell ref="C8:D8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72"/>
  <sheetViews>
    <sheetView zoomScalePageLayoutView="0" workbookViewId="0" topLeftCell="A55">
      <selection activeCell="G15" sqref="G15:G16"/>
    </sheetView>
  </sheetViews>
  <sheetFormatPr defaultColWidth="9.140625" defaultRowHeight="15"/>
  <cols>
    <col min="1" max="1" width="63.28125" style="96" customWidth="1"/>
    <col min="2" max="2" width="18.140625" style="0" customWidth="1"/>
    <col min="3" max="3" width="12.421875" style="0" customWidth="1"/>
    <col min="4" max="4" width="14.140625" style="0" bestFit="1" customWidth="1"/>
    <col min="5" max="5" width="16.28125" style="0" bestFit="1" customWidth="1"/>
    <col min="6" max="7" width="12.421875" style="0" bestFit="1" customWidth="1"/>
    <col min="8" max="8" width="12.421875" style="97" bestFit="1" customWidth="1"/>
    <col min="9" max="9" width="11.421875" style="97" bestFit="1" customWidth="1"/>
    <col min="10" max="10" width="12.28125" style="97" bestFit="1" customWidth="1"/>
    <col min="11" max="11" width="14.7109375" style="97" bestFit="1" customWidth="1"/>
    <col min="12" max="12" width="12.421875" style="0" bestFit="1" customWidth="1"/>
    <col min="13" max="13" width="12.140625" style="99" bestFit="1" customWidth="1"/>
    <col min="14" max="14" width="25.140625" style="0" bestFit="1" customWidth="1"/>
    <col min="15" max="15" width="48.57421875" style="0" bestFit="1" customWidth="1"/>
    <col min="16" max="17" width="18.140625" style="0" customWidth="1"/>
  </cols>
  <sheetData>
    <row r="1" spans="1:13" ht="15">
      <c r="A1" s="96" t="s">
        <v>267</v>
      </c>
      <c r="C1" s="96"/>
      <c r="G1" s="98">
        <f>G5+G6+G8+G9+G10+G11+G14+G15+G16+G17+G19+G20+G21+G22+G29+G30+G32+G33+G34+G35+G36+G37+G39+G40+G41+G47+G48+G49+G51+G52+G57+G62+G63+G64+'[4]Тех.присоединение'!H25</f>
        <v>4696967.615723289</v>
      </c>
      <c r="K1" s="97" t="s">
        <v>268</v>
      </c>
      <c r="L1" s="98">
        <f>L5+L6+L8+L9+L10+L11+L14+L15+L16+L17+L19+L20+L21+L22+L29+L30+L32+L33+L34+L35+L36+L37+L39+L40+L41+L47+L48+L49+L51+L52+L57+L62+L63+L64+'[4]Тех.присоединение'!O25</f>
        <v>-4677717.615723289</v>
      </c>
      <c r="M1" s="98">
        <f>L1+L2</f>
        <v>-9841643.471446577</v>
      </c>
    </row>
    <row r="2" spans="1:15" ht="15">
      <c r="A2" s="96" t="s">
        <v>205</v>
      </c>
      <c r="C2" s="96"/>
      <c r="G2" s="98">
        <f>G7+G12+G13+G23+G25+G26+G27+G28+G31+G38+G42+G43+G44+G45+G46+G50+G53+G54+G55+G56+G58+G59+G60+G61+G65+G66+G67+G68+G69+'[4]Тех.присоединение'!H26</f>
        <v>5654348.975723288</v>
      </c>
      <c r="K2" s="97" t="s">
        <v>269</v>
      </c>
      <c r="L2" s="98">
        <f>L7+L12+L13+L23+L25+L26+L27+L28+L31+L38+L42+L43+L44+L45+L46+L50+L53+L54+L55+L56+L58+L59+L60+L61+L65+L66+L67+L68+L69+'[4]Тех.присоединение'!O26</f>
        <v>-5163925.855723289</v>
      </c>
      <c r="M2" s="454" t="s">
        <v>206</v>
      </c>
      <c r="N2" s="455"/>
      <c r="O2" s="80"/>
    </row>
    <row r="3" spans="1:15" ht="15" customHeight="1">
      <c r="A3" s="344" t="s">
        <v>207</v>
      </c>
      <c r="B3" s="344" t="s">
        <v>208</v>
      </c>
      <c r="C3" s="344" t="s">
        <v>209</v>
      </c>
      <c r="D3" s="344" t="s">
        <v>210</v>
      </c>
      <c r="E3" s="344" t="s">
        <v>211</v>
      </c>
      <c r="F3" s="344" t="s">
        <v>212</v>
      </c>
      <c r="G3" s="346" t="s">
        <v>213</v>
      </c>
      <c r="H3" s="347"/>
      <c r="I3" s="347"/>
      <c r="J3" s="347"/>
      <c r="K3" s="348"/>
      <c r="L3" s="354" t="s">
        <v>214</v>
      </c>
      <c r="M3" s="456" t="s">
        <v>215</v>
      </c>
      <c r="N3" s="457"/>
      <c r="O3" s="80"/>
    </row>
    <row r="4" spans="1:15" ht="15">
      <c r="A4" s="345"/>
      <c r="B4" s="345"/>
      <c r="C4" s="345"/>
      <c r="D4" s="345"/>
      <c r="E4" s="345"/>
      <c r="F4" s="345"/>
      <c r="G4" s="101" t="s">
        <v>217</v>
      </c>
      <c r="H4" s="102" t="s">
        <v>218</v>
      </c>
      <c r="I4" s="102" t="s">
        <v>219</v>
      </c>
      <c r="J4" s="102" t="s">
        <v>220</v>
      </c>
      <c r="K4" s="102" t="s">
        <v>221</v>
      </c>
      <c r="L4" s="355"/>
      <c r="M4" s="103" t="s">
        <v>222</v>
      </c>
      <c r="N4" s="100" t="s">
        <v>223</v>
      </c>
      <c r="O4" s="80"/>
    </row>
    <row r="5" spans="1:15" ht="30">
      <c r="A5" s="104" t="s">
        <v>270</v>
      </c>
      <c r="B5" s="80">
        <v>5180001</v>
      </c>
      <c r="C5" s="114" t="s">
        <v>271</v>
      </c>
      <c r="D5" s="80"/>
      <c r="E5" s="105">
        <v>550</v>
      </c>
      <c r="F5" s="105">
        <v>550</v>
      </c>
      <c r="G5" s="125">
        <f aca="true" t="shared" si="0" ref="G5:G18">SUM(H5:K5)</f>
        <v>20797.66</v>
      </c>
      <c r="H5" s="105">
        <v>11176.45</v>
      </c>
      <c r="I5" s="105">
        <f>3836.41+858.52</f>
        <v>4694.93</v>
      </c>
      <c r="J5" s="105">
        <f>1166.27+260.99</f>
        <v>1427.26</v>
      </c>
      <c r="K5" s="105">
        <v>3499.02</v>
      </c>
      <c r="L5" s="105">
        <f>E5-G5</f>
        <v>-20247.66</v>
      </c>
      <c r="M5" s="106">
        <v>0.06</v>
      </c>
      <c r="N5" s="80" t="s">
        <v>272</v>
      </c>
      <c r="O5" s="80"/>
    </row>
    <row r="6" spans="1:15" ht="15">
      <c r="A6" s="104" t="s">
        <v>273</v>
      </c>
      <c r="B6" s="80">
        <v>5155001</v>
      </c>
      <c r="C6" s="126" t="s">
        <v>274</v>
      </c>
      <c r="D6" s="107"/>
      <c r="E6" s="108">
        <v>550</v>
      </c>
      <c r="F6" s="105">
        <v>550</v>
      </c>
      <c r="G6" s="125">
        <f t="shared" si="0"/>
        <v>11017.91</v>
      </c>
      <c r="H6" s="105">
        <v>4969.44</v>
      </c>
      <c r="I6" s="105">
        <f>1270.46+684.64</f>
        <v>1955.1</v>
      </c>
      <c r="J6" s="105">
        <f>386.22+208.13</f>
        <v>594.35</v>
      </c>
      <c r="K6" s="105">
        <v>3499.02</v>
      </c>
      <c r="L6" s="105">
        <f aca="true" t="shared" si="1" ref="L6:L62">E6-G6</f>
        <v>-10467.91</v>
      </c>
      <c r="M6" s="127"/>
      <c r="N6" s="128"/>
      <c r="O6" s="80"/>
    </row>
    <row r="7" spans="1:15" ht="60">
      <c r="A7" s="104" t="s">
        <v>237</v>
      </c>
      <c r="B7" s="80">
        <v>548004</v>
      </c>
      <c r="C7" s="126" t="s">
        <v>276</v>
      </c>
      <c r="D7" s="107"/>
      <c r="E7" s="108">
        <v>16411.55</v>
      </c>
      <c r="F7" s="105">
        <v>16411.55</v>
      </c>
      <c r="G7" s="129">
        <f t="shared" si="0"/>
        <v>203260.28</v>
      </c>
      <c r="H7" s="105">
        <f>87026.87+20040.67</f>
        <v>107067.54</v>
      </c>
      <c r="I7" s="105">
        <f>15103.11+6527.33+19928.28+4366.65</f>
        <v>45925.37</v>
      </c>
      <c r="J7" s="105">
        <f>4591.34+1984.31+6058.2+1327.46</f>
        <v>13961.309999999998</v>
      </c>
      <c r="K7" s="105">
        <f>23453.14+12852.92</f>
        <v>36306.06</v>
      </c>
      <c r="L7" s="105">
        <f t="shared" si="1"/>
        <v>-186848.73</v>
      </c>
      <c r="M7" s="106">
        <v>0.185</v>
      </c>
      <c r="N7" s="80" t="s">
        <v>229</v>
      </c>
      <c r="O7" s="80"/>
    </row>
    <row r="8" spans="1:15" ht="30" customHeight="1" hidden="1">
      <c r="A8" s="104" t="s">
        <v>277</v>
      </c>
      <c r="B8" s="80">
        <v>4986001</v>
      </c>
      <c r="C8" s="126" t="s">
        <v>233</v>
      </c>
      <c r="D8" s="107"/>
      <c r="E8" s="130">
        <v>550</v>
      </c>
      <c r="F8" s="131">
        <v>550</v>
      </c>
      <c r="G8" s="125">
        <f t="shared" si="0"/>
        <v>60763.57000000001</v>
      </c>
      <c r="H8" s="105">
        <v>18714.83</v>
      </c>
      <c r="I8" s="105">
        <f>11735.89+6106.6</f>
        <v>17842.489999999998</v>
      </c>
      <c r="J8" s="105">
        <f>3567.71+1856.41</f>
        <v>5424.12</v>
      </c>
      <c r="K8" s="105">
        <v>18782.13</v>
      </c>
      <c r="L8" s="105">
        <f t="shared" si="1"/>
        <v>-60213.57000000001</v>
      </c>
      <c r="M8" s="106">
        <v>0.03</v>
      </c>
      <c r="N8" s="80" t="s">
        <v>278</v>
      </c>
      <c r="O8" s="80"/>
    </row>
    <row r="9" spans="1:15" ht="30" customHeight="1" hidden="1">
      <c r="A9" s="104" t="s">
        <v>279</v>
      </c>
      <c r="B9" s="80">
        <v>4986001</v>
      </c>
      <c r="C9" s="126" t="s">
        <v>233</v>
      </c>
      <c r="D9" s="109"/>
      <c r="E9" s="130">
        <v>550</v>
      </c>
      <c r="F9" s="131">
        <v>550</v>
      </c>
      <c r="G9" s="125">
        <f t="shared" si="0"/>
        <v>99764.40999999999</v>
      </c>
      <c r="H9" s="105">
        <v>61055.4</v>
      </c>
      <c r="I9" s="105">
        <f>11794.16+5355.28</f>
        <v>17149.44</v>
      </c>
      <c r="J9" s="105">
        <f>3585.42+1628.01</f>
        <v>5213.43</v>
      </c>
      <c r="K9" s="105">
        <v>16346.14</v>
      </c>
      <c r="L9" s="105">
        <f t="shared" si="1"/>
        <v>-99214.40999999999</v>
      </c>
      <c r="M9" s="106">
        <v>0.09</v>
      </c>
      <c r="N9" s="80" t="s">
        <v>280</v>
      </c>
      <c r="O9" s="80"/>
    </row>
    <row r="10" spans="1:15" ht="30">
      <c r="A10" s="104" t="s">
        <v>281</v>
      </c>
      <c r="B10" s="80">
        <v>4986001</v>
      </c>
      <c r="C10" s="132" t="s">
        <v>233</v>
      </c>
      <c r="D10" s="107"/>
      <c r="E10" s="108">
        <v>550</v>
      </c>
      <c r="F10" s="105">
        <v>550</v>
      </c>
      <c r="G10" s="125">
        <f t="shared" si="0"/>
        <v>203998.4</v>
      </c>
      <c r="H10" s="105">
        <v>180420</v>
      </c>
      <c r="I10" s="105">
        <f>11592.64+2430.08</f>
        <v>14022.72</v>
      </c>
      <c r="J10" s="105">
        <f>3524.16+738.75</f>
        <v>4262.91</v>
      </c>
      <c r="K10" s="105">
        <v>5292.77</v>
      </c>
      <c r="L10" s="105">
        <f t="shared" si="1"/>
        <v>-203448.4</v>
      </c>
      <c r="M10" s="127"/>
      <c r="N10" s="128"/>
      <c r="O10" s="80"/>
    </row>
    <row r="11" spans="1:15" ht="15">
      <c r="A11" s="104" t="s">
        <v>282</v>
      </c>
      <c r="B11" s="80">
        <v>5156001</v>
      </c>
      <c r="C11" s="132" t="s">
        <v>283</v>
      </c>
      <c r="D11" s="107"/>
      <c r="E11" s="108">
        <v>550</v>
      </c>
      <c r="F11" s="105">
        <v>550</v>
      </c>
      <c r="G11" s="125">
        <f t="shared" si="0"/>
        <v>128989.47000000002</v>
      </c>
      <c r="H11" s="105">
        <v>66097.14</v>
      </c>
      <c r="I11" s="105">
        <f>21577.94+5654.99</f>
        <v>27232.93</v>
      </c>
      <c r="J11" s="105">
        <f>6559.7+1719.12</f>
        <v>8278.82</v>
      </c>
      <c r="K11" s="105">
        <v>27380.58</v>
      </c>
      <c r="L11" s="105">
        <f t="shared" si="1"/>
        <v>-128439.47000000002</v>
      </c>
      <c r="M11" s="127"/>
      <c r="N11" s="128"/>
      <c r="O11" s="80"/>
    </row>
    <row r="12" spans="1:15" ht="15">
      <c r="A12" s="104" t="s">
        <v>284</v>
      </c>
      <c r="B12" s="80">
        <v>2515007</v>
      </c>
      <c r="C12" s="132" t="s">
        <v>225</v>
      </c>
      <c r="D12" s="107"/>
      <c r="E12" s="108">
        <v>16411.55</v>
      </c>
      <c r="F12" s="105">
        <v>7385.2</v>
      </c>
      <c r="G12" s="129">
        <f t="shared" si="0"/>
        <v>294893.59</v>
      </c>
      <c r="H12" s="105">
        <v>261625</v>
      </c>
      <c r="I12" s="105">
        <f>13459.96+4086.18</f>
        <v>17546.14</v>
      </c>
      <c r="J12" s="105">
        <f>4091.83+1242.2</f>
        <v>5334.03</v>
      </c>
      <c r="K12" s="105">
        <v>10388.42</v>
      </c>
      <c r="L12" s="105">
        <f t="shared" si="1"/>
        <v>-278482.04000000004</v>
      </c>
      <c r="M12" s="127"/>
      <c r="N12" s="128"/>
      <c r="O12" s="80"/>
    </row>
    <row r="13" spans="1:15" ht="15">
      <c r="A13" s="104" t="s">
        <v>285</v>
      </c>
      <c r="B13" s="80">
        <v>2515007</v>
      </c>
      <c r="C13" s="132" t="s">
        <v>225</v>
      </c>
      <c r="D13" s="107"/>
      <c r="E13" s="108">
        <v>16411.55</v>
      </c>
      <c r="F13" s="105">
        <v>7385.2</v>
      </c>
      <c r="G13" s="129">
        <f t="shared" si="0"/>
        <v>294893.59</v>
      </c>
      <c r="H13" s="105">
        <v>261625</v>
      </c>
      <c r="I13" s="105">
        <f>13459.96+4086.18</f>
        <v>17546.14</v>
      </c>
      <c r="J13" s="105">
        <f>4091.83+1242.2</f>
        <v>5334.03</v>
      </c>
      <c r="K13" s="105">
        <v>10388.42</v>
      </c>
      <c r="L13" s="105">
        <f t="shared" si="1"/>
        <v>-278482.04000000004</v>
      </c>
      <c r="M13" s="127"/>
      <c r="N13" s="128"/>
      <c r="O13" s="80"/>
    </row>
    <row r="14" spans="1:15" ht="30" customHeight="1" hidden="1">
      <c r="A14" s="104" t="s">
        <v>286</v>
      </c>
      <c r="B14" s="80">
        <v>5176001</v>
      </c>
      <c r="C14" s="132" t="s">
        <v>287</v>
      </c>
      <c r="D14" s="107"/>
      <c r="E14" s="108">
        <v>550</v>
      </c>
      <c r="F14" s="105">
        <v>550</v>
      </c>
      <c r="G14" s="125">
        <f t="shared" si="0"/>
        <v>89295.71999999999</v>
      </c>
      <c r="H14" s="105">
        <v>50254.39</v>
      </c>
      <c r="I14" s="105">
        <f>11924.37+4068.61</f>
        <v>15992.980000000001</v>
      </c>
      <c r="J14" s="105">
        <f>3625.01+1236.86</f>
        <v>4861.87</v>
      </c>
      <c r="K14" s="105">
        <v>18186.48</v>
      </c>
      <c r="L14" s="105">
        <f t="shared" si="1"/>
        <v>-88745.71999999999</v>
      </c>
      <c r="M14" s="106">
        <v>0.141</v>
      </c>
      <c r="N14" s="80" t="s">
        <v>224</v>
      </c>
      <c r="O14" s="80"/>
    </row>
    <row r="15" spans="1:15" ht="15">
      <c r="A15" s="104" t="s">
        <v>286</v>
      </c>
      <c r="B15" s="80">
        <v>5149002</v>
      </c>
      <c r="C15" s="132" t="s">
        <v>288</v>
      </c>
      <c r="D15" s="107"/>
      <c r="E15" s="108">
        <v>550</v>
      </c>
      <c r="F15" s="105">
        <v>550</v>
      </c>
      <c r="G15" s="125">
        <f t="shared" si="0"/>
        <v>16846.83</v>
      </c>
      <c r="H15" s="105">
        <v>6608.83</v>
      </c>
      <c r="I15" s="105">
        <f>2255.82+1052.01</f>
        <v>3307.83</v>
      </c>
      <c r="J15" s="105">
        <f>685.77+319.81</f>
        <v>1005.5799999999999</v>
      </c>
      <c r="K15" s="105">
        <v>5924.59</v>
      </c>
      <c r="L15" s="105">
        <f t="shared" si="1"/>
        <v>-16296.830000000002</v>
      </c>
      <c r="M15" s="106">
        <v>0.02</v>
      </c>
      <c r="N15" s="80" t="s">
        <v>289</v>
      </c>
      <c r="O15" s="80"/>
    </row>
    <row r="16" spans="1:15" ht="15">
      <c r="A16" s="104" t="s">
        <v>290</v>
      </c>
      <c r="B16" s="80">
        <v>5196001</v>
      </c>
      <c r="C16" s="132" t="s">
        <v>291</v>
      </c>
      <c r="D16" s="107"/>
      <c r="E16" s="108">
        <v>550</v>
      </c>
      <c r="F16" s="105">
        <v>550</v>
      </c>
      <c r="G16" s="125">
        <f t="shared" si="0"/>
        <v>16326.43</v>
      </c>
      <c r="H16" s="105">
        <v>6088.43</v>
      </c>
      <c r="I16" s="105">
        <f>2255.82+1052.01</f>
        <v>3307.83</v>
      </c>
      <c r="J16" s="105">
        <f>685.77+319.81</f>
        <v>1005.5799999999999</v>
      </c>
      <c r="K16" s="105">
        <v>5924.59</v>
      </c>
      <c r="L16" s="105">
        <f t="shared" si="1"/>
        <v>-15776.43</v>
      </c>
      <c r="M16" s="106">
        <v>0.03</v>
      </c>
      <c r="N16" s="80" t="s">
        <v>292</v>
      </c>
      <c r="O16" s="80"/>
    </row>
    <row r="17" spans="1:15" ht="30">
      <c r="A17" s="104" t="s">
        <v>293</v>
      </c>
      <c r="B17" s="80">
        <v>4986001</v>
      </c>
      <c r="C17" s="132" t="s">
        <v>233</v>
      </c>
      <c r="D17" s="107"/>
      <c r="E17" s="108">
        <v>550</v>
      </c>
      <c r="F17" s="105">
        <v>550</v>
      </c>
      <c r="G17" s="125">
        <f t="shared" si="0"/>
        <v>358026.3</v>
      </c>
      <c r="H17" s="105">
        <f>122644.44+88182.87</f>
        <v>210827.31</v>
      </c>
      <c r="I17" s="105">
        <f>22708.33+10040.88+24989.17+5720.88</f>
        <v>63459.259999999995</v>
      </c>
      <c r="J17" s="105">
        <f>6903.33+3052.43+7596.71+1739.15</f>
        <v>19291.620000000003</v>
      </c>
      <c r="K17" s="105">
        <f>43535.64+20912.47</f>
        <v>64448.11</v>
      </c>
      <c r="L17" s="105">
        <f t="shared" si="1"/>
        <v>-357476.3</v>
      </c>
      <c r="M17" s="106">
        <v>0.45</v>
      </c>
      <c r="N17" s="80" t="s">
        <v>228</v>
      </c>
      <c r="O17" s="80"/>
    </row>
    <row r="18" spans="1:15" ht="45" customHeight="1" hidden="1">
      <c r="A18" s="104" t="s">
        <v>294</v>
      </c>
      <c r="B18" s="124">
        <v>4046001</v>
      </c>
      <c r="C18" s="132" t="s">
        <v>295</v>
      </c>
      <c r="D18" s="109"/>
      <c r="E18" s="110">
        <v>998849.42</v>
      </c>
      <c r="F18" s="111">
        <v>852044.94</v>
      </c>
      <c r="G18" s="111">
        <f t="shared" si="0"/>
        <v>202134.52</v>
      </c>
      <c r="H18" s="111">
        <v>76799.01</v>
      </c>
      <c r="I18" s="111">
        <f>29593.91+17288.02</f>
        <v>46881.93</v>
      </c>
      <c r="J18" s="111">
        <f>8996.55+5255.56</f>
        <v>14252.11</v>
      </c>
      <c r="K18" s="111">
        <v>64201.47</v>
      </c>
      <c r="L18" s="105">
        <f t="shared" si="1"/>
        <v>796714.9</v>
      </c>
      <c r="M18" s="106">
        <v>0.18</v>
      </c>
      <c r="N18" s="80" t="s">
        <v>229</v>
      </c>
      <c r="O18" s="80"/>
    </row>
    <row r="19" spans="1:15" ht="15">
      <c r="A19" s="104" t="s">
        <v>296</v>
      </c>
      <c r="B19" s="80">
        <v>5156001</v>
      </c>
      <c r="C19" s="104" t="s">
        <v>283</v>
      </c>
      <c r="D19" s="80"/>
      <c r="E19" s="80">
        <v>550</v>
      </c>
      <c r="F19" s="112">
        <v>550</v>
      </c>
      <c r="G19" s="133">
        <f>SUM(H19:K19)</f>
        <v>98341.56</v>
      </c>
      <c r="H19" s="112">
        <v>55479.03</v>
      </c>
      <c r="I19" s="112">
        <f>17926.59+2860.44</f>
        <v>20787.03</v>
      </c>
      <c r="J19" s="112">
        <f>5449.68+869.57</f>
        <v>6319.25</v>
      </c>
      <c r="K19" s="112">
        <v>15756.25</v>
      </c>
      <c r="L19" s="105">
        <f t="shared" si="1"/>
        <v>-97791.56</v>
      </c>
      <c r="M19" s="106">
        <v>0.4</v>
      </c>
      <c r="N19" s="80" t="s">
        <v>297</v>
      </c>
      <c r="O19" s="80"/>
    </row>
    <row r="20" spans="1:15" ht="15" customHeight="1" hidden="1">
      <c r="A20" s="104" t="s">
        <v>298</v>
      </c>
      <c r="B20" s="80">
        <v>5167001</v>
      </c>
      <c r="C20" s="104" t="s">
        <v>299</v>
      </c>
      <c r="D20" s="80"/>
      <c r="E20" s="112">
        <v>550</v>
      </c>
      <c r="F20" s="112">
        <v>550</v>
      </c>
      <c r="G20" s="133">
        <f>SUM(H20:K20)</f>
        <v>668037.89</v>
      </c>
      <c r="H20" s="112">
        <f>246439.45+194307</f>
        <v>440746.45</v>
      </c>
      <c r="I20" s="112">
        <f>55495.39+17995.3+26129.59+4251.41</f>
        <v>103871.69</v>
      </c>
      <c r="J20" s="112">
        <f>16870.6+5470.57+7943.39+1292.43</f>
        <v>31576.989999999998</v>
      </c>
      <c r="K20" s="112">
        <f>71304.82+20537.94</f>
        <v>91842.76000000001</v>
      </c>
      <c r="L20" s="105">
        <f t="shared" si="1"/>
        <v>-667487.89</v>
      </c>
      <c r="M20" s="106">
        <v>0.9</v>
      </c>
      <c r="N20" s="80" t="s">
        <v>300</v>
      </c>
      <c r="O20" s="80"/>
    </row>
    <row r="21" spans="1:15" ht="30" customHeight="1" hidden="1">
      <c r="A21" s="104" t="s">
        <v>301</v>
      </c>
      <c r="B21" s="80">
        <v>5189001</v>
      </c>
      <c r="C21" s="104" t="s">
        <v>302</v>
      </c>
      <c r="D21" s="80"/>
      <c r="E21" s="112">
        <v>550</v>
      </c>
      <c r="F21" s="112">
        <v>550</v>
      </c>
      <c r="G21" s="133">
        <f>SUM(H21:K21)</f>
        <v>143099.99999999997</v>
      </c>
      <c r="H21" s="112">
        <v>77033.9</v>
      </c>
      <c r="I21" s="112">
        <f>22138.12+6868.12</f>
        <v>29006.239999999998</v>
      </c>
      <c r="J21" s="112">
        <f>6729.99+2087.91</f>
        <v>8817.9</v>
      </c>
      <c r="K21" s="112">
        <v>28241.96</v>
      </c>
      <c r="L21" s="105">
        <f t="shared" si="1"/>
        <v>-142549.99999999997</v>
      </c>
      <c r="M21" s="106">
        <v>0.2</v>
      </c>
      <c r="N21" s="80" t="s">
        <v>297</v>
      </c>
      <c r="O21" s="80"/>
    </row>
    <row r="22" spans="1:15" ht="15">
      <c r="A22" s="104" t="s">
        <v>227</v>
      </c>
      <c r="B22" s="80">
        <v>5205001</v>
      </c>
      <c r="C22" s="104" t="s">
        <v>303</v>
      </c>
      <c r="D22" s="80"/>
      <c r="E22" s="112">
        <v>550</v>
      </c>
      <c r="F22" s="112">
        <v>550</v>
      </c>
      <c r="G22" s="133">
        <f>SUM(H22:K22)</f>
        <v>147900.13</v>
      </c>
      <c r="H22" s="112">
        <f>31516.55+44569.6</f>
        <v>76086.15</v>
      </c>
      <c r="I22" s="112">
        <f>11589.24+2994.92+15295.6+2164.96</f>
        <v>32044.72</v>
      </c>
      <c r="J22" s="112">
        <f>3523.13+910.45+4649.86+658.15</f>
        <v>9741.589999999998</v>
      </c>
      <c r="K22" s="112">
        <f>17929.52+12098.15</f>
        <v>30027.67</v>
      </c>
      <c r="L22" s="105">
        <f t="shared" si="1"/>
        <v>-147350.13</v>
      </c>
      <c r="M22" s="106">
        <v>0.33</v>
      </c>
      <c r="N22" s="80" t="s">
        <v>297</v>
      </c>
      <c r="O22" s="80"/>
    </row>
    <row r="23" spans="1:15" ht="30">
      <c r="A23" s="104" t="s">
        <v>304</v>
      </c>
      <c r="B23" s="80">
        <v>1704002</v>
      </c>
      <c r="C23" s="104" t="s">
        <v>234</v>
      </c>
      <c r="D23" s="80"/>
      <c r="E23" s="134">
        <v>16689.71</v>
      </c>
      <c r="F23" s="134">
        <v>16411.55</v>
      </c>
      <c r="G23" s="135">
        <f aca="true" t="shared" si="2" ref="G23:G70">SUM(H23:K23)</f>
        <v>54523.26</v>
      </c>
      <c r="H23" s="134">
        <v>7753.56</v>
      </c>
      <c r="I23" s="134">
        <f>21254.17+5356.08</f>
        <v>26610.25</v>
      </c>
      <c r="J23" s="134">
        <f>6461.27+1628.25</f>
        <v>8089.52</v>
      </c>
      <c r="K23" s="134">
        <v>12069.93</v>
      </c>
      <c r="L23" s="136">
        <f t="shared" si="1"/>
        <v>-37833.55</v>
      </c>
      <c r="M23" s="106">
        <v>0.008</v>
      </c>
      <c r="N23" s="80" t="s">
        <v>229</v>
      </c>
      <c r="O23" s="80"/>
    </row>
    <row r="24" spans="1:15" ht="30" customHeight="1" hidden="1">
      <c r="A24" s="104" t="s">
        <v>305</v>
      </c>
      <c r="B24" s="80">
        <v>5075001</v>
      </c>
      <c r="C24" s="104" t="s">
        <v>306</v>
      </c>
      <c r="D24" s="80"/>
      <c r="E24" s="134">
        <v>1146635.77</v>
      </c>
      <c r="F24" s="134">
        <v>687981.46</v>
      </c>
      <c r="G24" s="134">
        <f t="shared" si="2"/>
        <v>369638.49999999994</v>
      </c>
      <c r="H24" s="134">
        <f>30144+142461.33</f>
        <v>172605.33</v>
      </c>
      <c r="I24" s="134">
        <f>15103.11+8388.61+68150.75+18325.98</f>
        <v>109968.45</v>
      </c>
      <c r="J24" s="134">
        <f>4591.34+2550.14+20717.83+5571.1</f>
        <v>33430.41</v>
      </c>
      <c r="K24" s="134">
        <f>25760.97+27873.34</f>
        <v>53634.31</v>
      </c>
      <c r="L24" s="136">
        <f t="shared" si="1"/>
        <v>776997.27</v>
      </c>
      <c r="M24" s="106">
        <v>0.241</v>
      </c>
      <c r="N24" s="80" t="s">
        <v>307</v>
      </c>
      <c r="O24" s="80"/>
    </row>
    <row r="25" spans="1:15" ht="30" customHeight="1" hidden="1">
      <c r="A25" s="104" t="s">
        <v>310</v>
      </c>
      <c r="B25" s="80">
        <v>2479003</v>
      </c>
      <c r="C25" s="104" t="s">
        <v>311</v>
      </c>
      <c r="D25" s="80"/>
      <c r="E25" s="134">
        <v>16411.55</v>
      </c>
      <c r="F25" s="134">
        <v>16411.55</v>
      </c>
      <c r="G25" s="135">
        <f t="shared" si="2"/>
        <v>238940.57</v>
      </c>
      <c r="H25" s="134">
        <v>200039.42</v>
      </c>
      <c r="I25" s="134">
        <f>17082.66+4720.73</f>
        <v>21803.39</v>
      </c>
      <c r="J25" s="134">
        <f>5193.13+1435.1</f>
        <v>6628.23</v>
      </c>
      <c r="K25" s="134">
        <v>10469.53</v>
      </c>
      <c r="L25" s="136">
        <f t="shared" si="1"/>
        <v>-222529.02000000002</v>
      </c>
      <c r="M25" s="127"/>
      <c r="N25" s="128"/>
      <c r="O25" s="80"/>
    </row>
    <row r="26" spans="1:15" ht="15">
      <c r="A26" s="104" t="s">
        <v>312</v>
      </c>
      <c r="B26" s="80">
        <v>5237002</v>
      </c>
      <c r="C26" s="104" t="s">
        <v>313</v>
      </c>
      <c r="D26" s="80"/>
      <c r="E26" s="134">
        <v>16689.71</v>
      </c>
      <c r="F26" s="134">
        <v>16689.71</v>
      </c>
      <c r="G26" s="135">
        <f t="shared" si="2"/>
        <v>302370.13</v>
      </c>
      <c r="H26" s="134">
        <v>269166.67</v>
      </c>
      <c r="I26" s="134">
        <f>13459.96+4086.18</f>
        <v>17546.14</v>
      </c>
      <c r="J26" s="134">
        <f>4091.83+1242.2</f>
        <v>5334.03</v>
      </c>
      <c r="K26" s="134">
        <v>10323.29</v>
      </c>
      <c r="L26" s="136">
        <f t="shared" si="1"/>
        <v>-285680.42</v>
      </c>
      <c r="M26" s="127"/>
      <c r="N26" s="128"/>
      <c r="O26" s="80"/>
    </row>
    <row r="27" spans="1:15" ht="30">
      <c r="A27" s="104" t="s">
        <v>314</v>
      </c>
      <c r="B27" s="80">
        <v>1275011</v>
      </c>
      <c r="C27" s="104" t="s">
        <v>315</v>
      </c>
      <c r="D27" s="80"/>
      <c r="E27" s="134">
        <v>16689.71</v>
      </c>
      <c r="F27" s="134">
        <v>13908.09</v>
      </c>
      <c r="G27" s="135">
        <f t="shared" si="2"/>
        <v>226953.46000000002</v>
      </c>
      <c r="H27" s="134">
        <v>193750</v>
      </c>
      <c r="I27" s="134">
        <f>13459.96+4086.18</f>
        <v>17546.14</v>
      </c>
      <c r="J27" s="134">
        <f>4091.83+1242.2</f>
        <v>5334.03</v>
      </c>
      <c r="K27" s="134">
        <v>10323.29</v>
      </c>
      <c r="L27" s="136">
        <f t="shared" si="1"/>
        <v>-210263.75000000003</v>
      </c>
      <c r="M27" s="127"/>
      <c r="N27" s="128"/>
      <c r="O27" s="80"/>
    </row>
    <row r="28" spans="1:15" ht="30">
      <c r="A28" s="104" t="s">
        <v>316</v>
      </c>
      <c r="B28" s="80">
        <v>1275011</v>
      </c>
      <c r="C28" s="104" t="s">
        <v>315</v>
      </c>
      <c r="D28" s="80"/>
      <c r="E28" s="134">
        <v>16689.71</v>
      </c>
      <c r="F28" s="134">
        <v>13908.09</v>
      </c>
      <c r="G28" s="135">
        <f t="shared" si="2"/>
        <v>69687.17</v>
      </c>
      <c r="H28" s="134">
        <v>16123.05</v>
      </c>
      <c r="I28" s="134">
        <f>19450.35+8382.46</f>
        <v>27832.809999999998</v>
      </c>
      <c r="J28" s="134">
        <f>5912.91+2548.27</f>
        <v>8461.18</v>
      </c>
      <c r="K28" s="134">
        <v>17270.13</v>
      </c>
      <c r="L28" s="136">
        <f t="shared" si="1"/>
        <v>-52997.46</v>
      </c>
      <c r="M28" s="106">
        <v>0.03</v>
      </c>
      <c r="N28" s="80" t="s">
        <v>229</v>
      </c>
      <c r="O28" s="80"/>
    </row>
    <row r="29" spans="1:15" ht="15" customHeight="1" hidden="1">
      <c r="A29" s="104" t="s">
        <v>317</v>
      </c>
      <c r="B29" s="80">
        <v>5167001</v>
      </c>
      <c r="C29" s="104" t="s">
        <v>299</v>
      </c>
      <c r="D29" s="80"/>
      <c r="E29" s="134">
        <v>550</v>
      </c>
      <c r="F29" s="134">
        <v>550</v>
      </c>
      <c r="G29" s="133">
        <f t="shared" si="2"/>
        <v>60997.270000000004</v>
      </c>
      <c r="H29" s="134">
        <v>24563.67</v>
      </c>
      <c r="I29" s="134">
        <f>13967.78+6345.52</f>
        <v>20313.300000000003</v>
      </c>
      <c r="J29" s="134">
        <f>4246.21+1929.04</f>
        <v>6175.25</v>
      </c>
      <c r="K29" s="134">
        <v>9945.05</v>
      </c>
      <c r="L29" s="136">
        <f t="shared" si="1"/>
        <v>-60447.270000000004</v>
      </c>
      <c r="M29" s="106">
        <v>0.07</v>
      </c>
      <c r="N29" s="80" t="s">
        <v>318</v>
      </c>
      <c r="O29" s="80"/>
    </row>
    <row r="30" spans="1:15" ht="45" customHeight="1" hidden="1">
      <c r="A30" s="104" t="s">
        <v>227</v>
      </c>
      <c r="B30" s="80">
        <v>5206001</v>
      </c>
      <c r="C30" s="104" t="s">
        <v>319</v>
      </c>
      <c r="D30" s="80"/>
      <c r="E30" s="134">
        <v>550</v>
      </c>
      <c r="F30" s="134">
        <v>550</v>
      </c>
      <c r="G30" s="133">
        <f t="shared" si="2"/>
        <v>142380.69999999998</v>
      </c>
      <c r="H30" s="134">
        <v>76326.18</v>
      </c>
      <c r="I30" s="134">
        <f>26129.59+5538.08</f>
        <v>31667.67</v>
      </c>
      <c r="J30" s="134">
        <f>7943.39+1683.58</f>
        <v>9626.970000000001</v>
      </c>
      <c r="K30" s="134">
        <v>24759.88</v>
      </c>
      <c r="L30" s="136">
        <f t="shared" si="1"/>
        <v>-141830.69999999998</v>
      </c>
      <c r="M30" s="113" t="s">
        <v>320</v>
      </c>
      <c r="N30" s="114" t="s">
        <v>321</v>
      </c>
      <c r="O30" s="80"/>
    </row>
    <row r="31" spans="1:15" ht="30" customHeight="1" hidden="1">
      <c r="A31" s="104" t="s">
        <v>322</v>
      </c>
      <c r="B31" s="80">
        <v>1275011</v>
      </c>
      <c r="C31" s="104" t="s">
        <v>315</v>
      </c>
      <c r="D31" s="80"/>
      <c r="E31" s="134">
        <v>16689.71</v>
      </c>
      <c r="F31" s="134">
        <v>13908.09</v>
      </c>
      <c r="G31" s="135">
        <f t="shared" si="2"/>
        <v>67843.18999999999</v>
      </c>
      <c r="H31" s="134">
        <v>39643.52</v>
      </c>
      <c r="I31" s="134">
        <f>8503.11+2738.57</f>
        <v>11241.68</v>
      </c>
      <c r="J31" s="134">
        <f>2584.95+832.53</f>
        <v>3417.4799999999996</v>
      </c>
      <c r="K31" s="134">
        <v>13540.51</v>
      </c>
      <c r="L31" s="136">
        <f t="shared" si="1"/>
        <v>-51153.47999999999</v>
      </c>
      <c r="M31" s="127"/>
      <c r="N31" s="128"/>
      <c r="O31" s="80"/>
    </row>
    <row r="32" spans="1:15" ht="30">
      <c r="A32" s="104" t="s">
        <v>323</v>
      </c>
      <c r="B32" s="80">
        <v>5228001</v>
      </c>
      <c r="C32" s="104" t="s">
        <v>324</v>
      </c>
      <c r="D32" s="80"/>
      <c r="E32" s="134">
        <v>550</v>
      </c>
      <c r="F32" s="134">
        <v>550</v>
      </c>
      <c r="G32" s="133">
        <f>SUM(H32:K32)</f>
        <v>15389.130000000001</v>
      </c>
      <c r="H32" s="134">
        <v>6467.17</v>
      </c>
      <c r="I32" s="134">
        <f>1555.57+1052.01</f>
        <v>2607.58</v>
      </c>
      <c r="J32" s="134">
        <f>472.89+319.81</f>
        <v>792.7</v>
      </c>
      <c r="K32" s="134">
        <v>5521.68</v>
      </c>
      <c r="L32" s="136">
        <f>E32-G32</f>
        <v>-14839.130000000001</v>
      </c>
      <c r="M32" s="106"/>
      <c r="N32" s="80"/>
      <c r="O32" s="80"/>
    </row>
    <row r="33" spans="1:15" ht="30" customHeight="1" hidden="1">
      <c r="A33" s="104" t="s">
        <v>325</v>
      </c>
      <c r="B33" s="80">
        <v>3761002</v>
      </c>
      <c r="C33" s="104" t="s">
        <v>326</v>
      </c>
      <c r="D33" s="80"/>
      <c r="E33" s="134">
        <v>550</v>
      </c>
      <c r="F33" s="134">
        <v>550</v>
      </c>
      <c r="G33" s="133">
        <f t="shared" si="2"/>
        <v>17510.6</v>
      </c>
      <c r="H33" s="134">
        <v>7174.62</v>
      </c>
      <c r="I33" s="134">
        <f>2255.82+1052.01</f>
        <v>3307.83</v>
      </c>
      <c r="J33" s="134">
        <f>685.77+319.81</f>
        <v>1005.5799999999999</v>
      </c>
      <c r="K33" s="134">
        <v>6022.57</v>
      </c>
      <c r="L33" s="136">
        <f t="shared" si="1"/>
        <v>-16960.6</v>
      </c>
      <c r="M33" s="106">
        <v>0.06</v>
      </c>
      <c r="N33" s="80" t="s">
        <v>292</v>
      </c>
      <c r="O33" s="80"/>
    </row>
    <row r="34" spans="1:15" ht="30">
      <c r="A34" s="104" t="s">
        <v>227</v>
      </c>
      <c r="B34" s="80">
        <v>4222002</v>
      </c>
      <c r="C34" s="104" t="s">
        <v>327</v>
      </c>
      <c r="D34" s="80"/>
      <c r="E34" s="134">
        <v>550</v>
      </c>
      <c r="F34" s="134">
        <v>550</v>
      </c>
      <c r="G34" s="133">
        <f>SUM(H34:K34)</f>
        <v>74946.15</v>
      </c>
      <c r="H34" s="134">
        <v>45313.15</v>
      </c>
      <c r="I34" s="134">
        <f>7672.82+2738.57</f>
        <v>10411.39</v>
      </c>
      <c r="J34" s="134">
        <f>2332.54+832.53</f>
        <v>3165.0699999999997</v>
      </c>
      <c r="K34" s="134">
        <v>16056.54</v>
      </c>
      <c r="L34" s="136">
        <f t="shared" si="1"/>
        <v>-74396.15</v>
      </c>
      <c r="M34" s="113" t="s">
        <v>328</v>
      </c>
      <c r="N34" s="104" t="s">
        <v>329</v>
      </c>
      <c r="O34" s="80"/>
    </row>
    <row r="35" spans="1:15" ht="30">
      <c r="A35" s="104" t="s">
        <v>330</v>
      </c>
      <c r="B35" s="80">
        <v>5083001</v>
      </c>
      <c r="C35" s="104" t="s">
        <v>331</v>
      </c>
      <c r="D35" s="80"/>
      <c r="E35" s="134">
        <v>550</v>
      </c>
      <c r="F35" s="134">
        <v>550</v>
      </c>
      <c r="G35" s="133">
        <f t="shared" si="2"/>
        <v>50323.05000000001</v>
      </c>
      <c r="H35" s="134">
        <v>35582.69</v>
      </c>
      <c r="I35" s="134">
        <f>3941.44+1399.75</f>
        <v>5341.1900000000005</v>
      </c>
      <c r="J35" s="134">
        <f>1198.2+425.53</f>
        <v>1623.73</v>
      </c>
      <c r="K35" s="134">
        <v>7775.44</v>
      </c>
      <c r="L35" s="136">
        <f t="shared" si="1"/>
        <v>-49773.05000000001</v>
      </c>
      <c r="M35" s="106">
        <v>0.03</v>
      </c>
      <c r="N35" s="80" t="s">
        <v>332</v>
      </c>
      <c r="O35" s="120"/>
    </row>
    <row r="36" spans="1:14" ht="30">
      <c r="A36" s="104" t="s">
        <v>293</v>
      </c>
      <c r="B36" s="80">
        <v>5231001</v>
      </c>
      <c r="C36" s="104" t="s">
        <v>333</v>
      </c>
      <c r="D36" s="80"/>
      <c r="E36" s="134">
        <v>550</v>
      </c>
      <c r="F36" s="134">
        <v>550</v>
      </c>
      <c r="G36" s="133">
        <f t="shared" si="2"/>
        <v>153585.27999999997</v>
      </c>
      <c r="H36" s="134">
        <v>94024.01</v>
      </c>
      <c r="I36" s="134">
        <f>15345.63+6728.69</f>
        <v>22074.32</v>
      </c>
      <c r="J36" s="134">
        <f>4665.07+2045.52</f>
        <v>6710.59</v>
      </c>
      <c r="K36" s="134">
        <v>30776.36</v>
      </c>
      <c r="L36" s="136">
        <f t="shared" si="1"/>
        <v>-153035.27999999997</v>
      </c>
      <c r="M36" s="106">
        <v>0.21</v>
      </c>
      <c r="N36" s="80" t="s">
        <v>228</v>
      </c>
    </row>
    <row r="37" spans="1:14" ht="30">
      <c r="A37" s="104" t="s">
        <v>334</v>
      </c>
      <c r="B37" s="80">
        <v>5083001</v>
      </c>
      <c r="C37" s="104" t="s">
        <v>331</v>
      </c>
      <c r="D37" s="80"/>
      <c r="E37" s="134">
        <v>550</v>
      </c>
      <c r="F37" s="134">
        <v>550</v>
      </c>
      <c r="G37" s="133">
        <f t="shared" si="2"/>
        <v>404269.27</v>
      </c>
      <c r="H37" s="134">
        <v>217209.88</v>
      </c>
      <c r="I37" s="134">
        <f>71780.9+27992.75</f>
        <v>99773.65</v>
      </c>
      <c r="J37" s="134">
        <f>21821.39+8509.8</f>
        <v>30331.19</v>
      </c>
      <c r="K37" s="134">
        <v>56954.55</v>
      </c>
      <c r="L37" s="136">
        <f t="shared" si="1"/>
        <v>-403719.27</v>
      </c>
      <c r="M37" s="127"/>
      <c r="N37" s="128"/>
    </row>
    <row r="38" spans="1:14" ht="30">
      <c r="A38" s="104" t="s">
        <v>335</v>
      </c>
      <c r="B38" s="80">
        <v>1287001</v>
      </c>
      <c r="C38" s="104" t="s">
        <v>336</v>
      </c>
      <c r="D38" s="80"/>
      <c r="E38" s="134">
        <v>16411.55</v>
      </c>
      <c r="F38" s="134">
        <v>7385.19</v>
      </c>
      <c r="G38" s="135">
        <f t="shared" si="2"/>
        <v>179266.43000000002</v>
      </c>
      <c r="H38" s="134">
        <f>43111.7+1119.76</f>
        <v>44231.46</v>
      </c>
      <c r="I38" s="134">
        <f>51927.22+20244.84+1759.03+634.55</f>
        <v>74565.64</v>
      </c>
      <c r="J38" s="134">
        <f>15785.87+6154.43+534.75+192.9</f>
        <v>22667.950000000004</v>
      </c>
      <c r="K38" s="134">
        <f>35464.18+2337.2</f>
        <v>37801.38</v>
      </c>
      <c r="L38" s="136">
        <f t="shared" si="1"/>
        <v>-162854.88000000003</v>
      </c>
      <c r="M38" s="127"/>
      <c r="N38" s="128"/>
    </row>
    <row r="39" spans="1:14" ht="105">
      <c r="A39" s="104" t="s">
        <v>337</v>
      </c>
      <c r="B39" s="80">
        <v>450002</v>
      </c>
      <c r="C39" s="104" t="s">
        <v>338</v>
      </c>
      <c r="D39" s="80"/>
      <c r="E39" s="134">
        <v>550</v>
      </c>
      <c r="F39" s="134">
        <v>550</v>
      </c>
      <c r="G39" s="133">
        <f t="shared" si="2"/>
        <v>111734.01000000001</v>
      </c>
      <c r="H39" s="134">
        <v>52249.45</v>
      </c>
      <c r="I39" s="134">
        <f>13635+6411.41</f>
        <v>20046.41</v>
      </c>
      <c r="J39" s="134">
        <f>4145.04+1949.07</f>
        <v>6094.11</v>
      </c>
      <c r="K39" s="134">
        <v>33344.04</v>
      </c>
      <c r="L39" s="136">
        <f t="shared" si="1"/>
        <v>-111184.01000000001</v>
      </c>
      <c r="M39" s="106">
        <v>0.262</v>
      </c>
      <c r="N39" s="80" t="s">
        <v>292</v>
      </c>
    </row>
    <row r="40" spans="1:14" ht="30">
      <c r="A40" s="104" t="s">
        <v>339</v>
      </c>
      <c r="B40" s="80">
        <v>5277001</v>
      </c>
      <c r="C40" s="104" t="s">
        <v>340</v>
      </c>
      <c r="D40" s="80"/>
      <c r="E40" s="112">
        <v>550</v>
      </c>
      <c r="F40" s="112">
        <v>550</v>
      </c>
      <c r="G40" s="133">
        <f t="shared" si="2"/>
        <v>32724.8</v>
      </c>
      <c r="H40" s="112">
        <v>15198.01</v>
      </c>
      <c r="I40" s="112">
        <f>3811.39+1717.03</f>
        <v>5528.42</v>
      </c>
      <c r="J40" s="112">
        <f>1158.66+521.98</f>
        <v>1680.64</v>
      </c>
      <c r="K40" s="112">
        <v>10317.73</v>
      </c>
      <c r="L40" s="105">
        <f t="shared" si="1"/>
        <v>-32174.8</v>
      </c>
      <c r="M40" s="113">
        <v>0.08</v>
      </c>
      <c r="N40" s="114" t="s">
        <v>289</v>
      </c>
    </row>
    <row r="41" spans="1:14" ht="30">
      <c r="A41" s="104" t="s">
        <v>341</v>
      </c>
      <c r="B41" s="80">
        <v>5083001</v>
      </c>
      <c r="C41" s="104" t="s">
        <v>331</v>
      </c>
      <c r="D41" s="80"/>
      <c r="E41" s="112">
        <v>550</v>
      </c>
      <c r="F41" s="112">
        <v>550</v>
      </c>
      <c r="G41" s="133">
        <f t="shared" si="2"/>
        <v>132528.31</v>
      </c>
      <c r="H41" s="112">
        <v>69601.61</v>
      </c>
      <c r="I41" s="112">
        <f>16436.02+6298.33</f>
        <v>22734.35</v>
      </c>
      <c r="J41" s="112">
        <f>4996.55+1914.69</f>
        <v>6911.24</v>
      </c>
      <c r="K41" s="112">
        <v>33281.11</v>
      </c>
      <c r="L41" s="105">
        <f t="shared" si="1"/>
        <v>-131978.31</v>
      </c>
      <c r="M41" s="127"/>
      <c r="N41" s="128"/>
    </row>
    <row r="42" spans="1:14" ht="15">
      <c r="A42" s="104" t="s">
        <v>342</v>
      </c>
      <c r="B42" s="80">
        <v>5248003</v>
      </c>
      <c r="C42" s="104" t="s">
        <v>343</v>
      </c>
      <c r="D42" s="80"/>
      <c r="E42" s="134">
        <v>16689.71</v>
      </c>
      <c r="F42" s="134">
        <v>13908.09</v>
      </c>
      <c r="G42" s="135">
        <f t="shared" si="2"/>
        <v>104944.27999999998</v>
      </c>
      <c r="H42" s="134">
        <v>33844.95</v>
      </c>
      <c r="I42" s="134">
        <f>45339.73+3807.31</f>
        <v>49147.04</v>
      </c>
      <c r="J42" s="134">
        <f>13783.28+1157.42</f>
        <v>14940.7</v>
      </c>
      <c r="K42" s="134">
        <v>7011.59</v>
      </c>
      <c r="L42" s="136">
        <f t="shared" si="1"/>
        <v>-88254.56999999998</v>
      </c>
      <c r="M42" s="127"/>
      <c r="N42" s="128"/>
    </row>
    <row r="43" spans="1:14" ht="15">
      <c r="A43" s="104" t="s">
        <v>344</v>
      </c>
      <c r="B43" s="80">
        <v>5248003</v>
      </c>
      <c r="C43" s="104" t="s">
        <v>343</v>
      </c>
      <c r="D43" s="80"/>
      <c r="E43" s="134">
        <v>16689.71</v>
      </c>
      <c r="F43" s="134">
        <v>13908.09</v>
      </c>
      <c r="G43" s="135">
        <f t="shared" si="2"/>
        <v>214792.32</v>
      </c>
      <c r="H43" s="134">
        <v>191666.66</v>
      </c>
      <c r="I43" s="134">
        <f>10561.8+3312.19</f>
        <v>13873.99</v>
      </c>
      <c r="J43" s="134">
        <f>3210.79+1006.91</f>
        <v>4217.7</v>
      </c>
      <c r="K43" s="134">
        <v>5033.97</v>
      </c>
      <c r="L43" s="136">
        <f t="shared" si="1"/>
        <v>-198102.61000000002</v>
      </c>
      <c r="M43" s="127"/>
      <c r="N43" s="128"/>
    </row>
    <row r="44" spans="1:14" ht="30">
      <c r="A44" s="104" t="s">
        <v>345</v>
      </c>
      <c r="B44" s="80">
        <v>178004</v>
      </c>
      <c r="C44" s="104" t="s">
        <v>346</v>
      </c>
      <c r="D44" s="80"/>
      <c r="E44" s="134">
        <v>16689.71</v>
      </c>
      <c r="F44" s="134">
        <v>16689.71</v>
      </c>
      <c r="G44" s="135">
        <f t="shared" si="2"/>
        <v>215801.94999999998</v>
      </c>
      <c r="H44" s="134">
        <v>200000</v>
      </c>
      <c r="I44" s="134">
        <f>6214.56+2043.09</f>
        <v>8257.65</v>
      </c>
      <c r="J44" s="134">
        <f>1889.23+621.1</f>
        <v>2510.33</v>
      </c>
      <c r="K44" s="134">
        <v>5033.97</v>
      </c>
      <c r="L44" s="136">
        <f t="shared" si="1"/>
        <v>-199112.24</v>
      </c>
      <c r="M44" s="127"/>
      <c r="N44" s="128"/>
    </row>
    <row r="45" spans="1:14" ht="30">
      <c r="A45" s="104" t="s">
        <v>347</v>
      </c>
      <c r="B45" s="80">
        <v>4896004</v>
      </c>
      <c r="C45" s="104" t="s">
        <v>348</v>
      </c>
      <c r="D45" s="80"/>
      <c r="E45" s="134">
        <v>17294.91</v>
      </c>
      <c r="F45" s="134">
        <v>17294.91</v>
      </c>
      <c r="G45" s="135">
        <f t="shared" si="2"/>
        <v>76622.47</v>
      </c>
      <c r="H45" s="134">
        <v>56394.78</v>
      </c>
      <c r="I45" s="134">
        <f>4666.71+1962.81</f>
        <v>6629.52</v>
      </c>
      <c r="J45" s="134">
        <f>1418.68+596.69</f>
        <v>2015.3700000000001</v>
      </c>
      <c r="K45" s="134">
        <v>11582.8</v>
      </c>
      <c r="L45" s="136">
        <f t="shared" si="1"/>
        <v>-59327.56</v>
      </c>
      <c r="M45" s="127"/>
      <c r="N45" s="128"/>
    </row>
    <row r="46" spans="1:14" ht="30">
      <c r="A46" s="104" t="s">
        <v>351</v>
      </c>
      <c r="B46" s="80">
        <v>4896004</v>
      </c>
      <c r="C46" s="104" t="s">
        <v>348</v>
      </c>
      <c r="D46" s="80"/>
      <c r="E46" s="134">
        <v>17294.91</v>
      </c>
      <c r="F46" s="134">
        <v>17294.91</v>
      </c>
      <c r="G46" s="135">
        <f t="shared" si="2"/>
        <v>57107.56</v>
      </c>
      <c r="H46" s="134">
        <v>13673.76</v>
      </c>
      <c r="I46" s="134">
        <f>19248.68+6345.52</f>
        <v>25594.2</v>
      </c>
      <c r="J46" s="134">
        <f>5851.6+1929.04</f>
        <v>7780.64</v>
      </c>
      <c r="K46" s="134">
        <v>10058.96</v>
      </c>
      <c r="L46" s="136">
        <f t="shared" si="1"/>
        <v>-39812.649999999994</v>
      </c>
      <c r="M46" s="127"/>
      <c r="N46" s="128"/>
    </row>
    <row r="47" spans="1:14" ht="30">
      <c r="A47" s="104" t="s">
        <v>352</v>
      </c>
      <c r="B47" s="80">
        <v>5083001</v>
      </c>
      <c r="C47" s="104" t="s">
        <v>331</v>
      </c>
      <c r="D47" s="80"/>
      <c r="E47" s="134">
        <v>550</v>
      </c>
      <c r="F47" s="134">
        <v>550</v>
      </c>
      <c r="G47" s="133">
        <f t="shared" si="2"/>
        <v>447687.66000000003</v>
      </c>
      <c r="H47" s="134">
        <v>396690.4</v>
      </c>
      <c r="I47" s="134">
        <f>19489.73+7751.37</f>
        <v>27241.1</v>
      </c>
      <c r="J47" s="134">
        <f>5893.69+2344.01</f>
        <v>8237.7</v>
      </c>
      <c r="K47" s="134">
        <v>15518.46</v>
      </c>
      <c r="L47" s="136">
        <f t="shared" si="1"/>
        <v>-447137.66000000003</v>
      </c>
      <c r="M47" s="127"/>
      <c r="N47" s="128"/>
    </row>
    <row r="48" spans="1:14" ht="30">
      <c r="A48" s="104" t="s">
        <v>353</v>
      </c>
      <c r="B48" s="80">
        <v>5083001</v>
      </c>
      <c r="C48" s="104" t="s">
        <v>331</v>
      </c>
      <c r="D48" s="80"/>
      <c r="E48" s="134">
        <v>550</v>
      </c>
      <c r="F48" s="134">
        <v>550</v>
      </c>
      <c r="G48" s="133">
        <f t="shared" si="2"/>
        <v>252842.5</v>
      </c>
      <c r="H48" s="134">
        <v>226500</v>
      </c>
      <c r="I48" s="134">
        <f>10561.8+3699.19</f>
        <v>14260.99</v>
      </c>
      <c r="J48" s="134">
        <f>3210.79+1124.55</f>
        <v>4335.34</v>
      </c>
      <c r="K48" s="134">
        <v>7746.17</v>
      </c>
      <c r="L48" s="136">
        <f t="shared" si="1"/>
        <v>-252292.5</v>
      </c>
      <c r="M48" s="127"/>
      <c r="N48" s="128"/>
    </row>
    <row r="49" spans="1:14" ht="30">
      <c r="A49" s="104" t="s">
        <v>354</v>
      </c>
      <c r="B49" s="80">
        <v>5282001</v>
      </c>
      <c r="C49" s="104" t="s">
        <v>355</v>
      </c>
      <c r="D49" s="80"/>
      <c r="E49" s="134">
        <v>550</v>
      </c>
      <c r="F49" s="134">
        <v>550</v>
      </c>
      <c r="G49" s="133">
        <f t="shared" si="2"/>
        <v>110782.94</v>
      </c>
      <c r="H49" s="134">
        <v>52844.54</v>
      </c>
      <c r="I49" s="134">
        <f>10937.39+8149.26</f>
        <v>19086.65</v>
      </c>
      <c r="J49" s="134">
        <f>3324.97+2477.38</f>
        <v>5802.35</v>
      </c>
      <c r="K49" s="134">
        <v>33049.4</v>
      </c>
      <c r="L49" s="136">
        <f t="shared" si="1"/>
        <v>-110232.94</v>
      </c>
      <c r="M49" s="127"/>
      <c r="N49" s="128"/>
    </row>
    <row r="50" spans="1:14" ht="60">
      <c r="A50" s="104" t="s">
        <v>356</v>
      </c>
      <c r="B50" s="80">
        <v>1242002</v>
      </c>
      <c r="C50" s="104" t="s">
        <v>357</v>
      </c>
      <c r="D50" s="80"/>
      <c r="E50" s="134">
        <v>17294.91</v>
      </c>
      <c r="F50" s="134">
        <v>17294.91</v>
      </c>
      <c r="G50" s="135">
        <f t="shared" si="2"/>
        <v>100958.85</v>
      </c>
      <c r="H50" s="134">
        <v>61027.8</v>
      </c>
      <c r="I50" s="134">
        <f>8443.12+4729.88</f>
        <v>13173</v>
      </c>
      <c r="J50" s="134">
        <f>2566.71+1437.88</f>
        <v>4004.59</v>
      </c>
      <c r="K50" s="134">
        <v>22753.46</v>
      </c>
      <c r="L50" s="136">
        <f t="shared" si="1"/>
        <v>-83663.94</v>
      </c>
      <c r="M50" s="127"/>
      <c r="N50" s="128"/>
    </row>
    <row r="51" spans="1:14" ht="30">
      <c r="A51" s="104" t="s">
        <v>286</v>
      </c>
      <c r="B51" s="80">
        <v>5290001</v>
      </c>
      <c r="C51" s="104" t="s">
        <v>358</v>
      </c>
      <c r="D51" s="80"/>
      <c r="E51" s="134">
        <v>550</v>
      </c>
      <c r="F51" s="134">
        <v>550</v>
      </c>
      <c r="G51" s="133">
        <f t="shared" si="2"/>
        <v>30787.179999999997</v>
      </c>
      <c r="H51" s="134">
        <v>12722.51</v>
      </c>
      <c r="I51" s="134">
        <f>3327.9+2523.58</f>
        <v>5851.48</v>
      </c>
      <c r="J51" s="134">
        <f>1011.68+767.17</f>
        <v>1778.85</v>
      </c>
      <c r="K51" s="134">
        <v>10434.34</v>
      </c>
      <c r="L51" s="136">
        <f t="shared" si="1"/>
        <v>-30237.179999999997</v>
      </c>
      <c r="M51" s="127"/>
      <c r="N51" s="128"/>
    </row>
    <row r="52" spans="1:14" ht="30">
      <c r="A52" s="104" t="s">
        <v>359</v>
      </c>
      <c r="B52" s="80">
        <v>5281001</v>
      </c>
      <c r="C52" s="104" t="s">
        <v>360</v>
      </c>
      <c r="D52" s="80"/>
      <c r="E52" s="134">
        <v>550</v>
      </c>
      <c r="F52" s="134">
        <v>550</v>
      </c>
      <c r="G52" s="133">
        <f t="shared" si="2"/>
        <v>208584.21</v>
      </c>
      <c r="H52" s="134">
        <v>121056.17</v>
      </c>
      <c r="I52" s="134">
        <f>23382.01+9954.88</f>
        <v>33336.89</v>
      </c>
      <c r="J52" s="134">
        <f>7108.13+3026.28</f>
        <v>10134.41</v>
      </c>
      <c r="K52" s="134">
        <v>44056.74</v>
      </c>
      <c r="L52" s="136">
        <f t="shared" si="1"/>
        <v>-208034.21</v>
      </c>
      <c r="M52" s="127"/>
      <c r="N52" s="128"/>
    </row>
    <row r="53" spans="1:14" ht="15">
      <c r="A53" s="104" t="s">
        <v>363</v>
      </c>
      <c r="B53" s="80">
        <v>5248003</v>
      </c>
      <c r="C53" s="104" t="s">
        <v>343</v>
      </c>
      <c r="D53" s="80"/>
      <c r="E53" s="134">
        <v>16689.71</v>
      </c>
      <c r="F53" s="134">
        <v>13908.09</v>
      </c>
      <c r="G53" s="135">
        <f t="shared" si="2"/>
        <v>144333.41000000003</v>
      </c>
      <c r="H53" s="134">
        <v>82753.71</v>
      </c>
      <c r="I53" s="134">
        <f>18344.83+8528.04</f>
        <v>26872.870000000003</v>
      </c>
      <c r="J53" s="134">
        <f>5576.83+2592.52</f>
        <v>8169.35</v>
      </c>
      <c r="K53" s="134">
        <v>26537.48</v>
      </c>
      <c r="L53" s="136">
        <f t="shared" si="1"/>
        <v>-127643.70000000004</v>
      </c>
      <c r="M53" s="106">
        <v>0.2</v>
      </c>
      <c r="N53" s="80" t="s">
        <v>229</v>
      </c>
    </row>
    <row r="54" spans="1:14" ht="30">
      <c r="A54" s="104" t="s">
        <v>364</v>
      </c>
      <c r="B54" s="80">
        <v>5223001</v>
      </c>
      <c r="C54" s="104" t="s">
        <v>365</v>
      </c>
      <c r="D54" s="80"/>
      <c r="E54" s="134">
        <v>16689.71</v>
      </c>
      <c r="F54" s="134">
        <v>16411.55</v>
      </c>
      <c r="G54" s="135">
        <f t="shared" si="2"/>
        <v>310253.1</v>
      </c>
      <c r="H54" s="134">
        <v>208707.15</v>
      </c>
      <c r="I54" s="134">
        <f>27469.99+18342.48</f>
        <v>45812.47</v>
      </c>
      <c r="J54" s="134">
        <f>8350.88+5576.11</f>
        <v>13926.989999999998</v>
      </c>
      <c r="K54" s="134">
        <v>41806.49</v>
      </c>
      <c r="L54" s="136">
        <f t="shared" si="1"/>
        <v>-293563.38999999996</v>
      </c>
      <c r="M54" s="106">
        <v>0.32</v>
      </c>
      <c r="N54" s="80" t="s">
        <v>366</v>
      </c>
    </row>
    <row r="55" spans="1:14" ht="30">
      <c r="A55" s="104" t="s">
        <v>370</v>
      </c>
      <c r="B55" s="80">
        <v>5223001</v>
      </c>
      <c r="C55" s="104" t="s">
        <v>371</v>
      </c>
      <c r="D55" s="80"/>
      <c r="E55" s="80">
        <v>16689.71</v>
      </c>
      <c r="F55" s="80">
        <v>16411.55</v>
      </c>
      <c r="G55" s="135">
        <f t="shared" si="2"/>
        <v>321815.39</v>
      </c>
      <c r="H55" s="112">
        <v>256085.39</v>
      </c>
      <c r="I55" s="112">
        <f>19489.73+9857.08</f>
        <v>29346.809999999998</v>
      </c>
      <c r="J55" s="112">
        <f>5893.69+2980.78</f>
        <v>8874.47</v>
      </c>
      <c r="K55" s="112">
        <v>27508.72</v>
      </c>
      <c r="L55" s="136">
        <f t="shared" si="1"/>
        <v>-305125.68</v>
      </c>
      <c r="M55" s="127"/>
      <c r="N55" s="128"/>
    </row>
    <row r="56" spans="1:14" ht="30">
      <c r="A56" s="104" t="s">
        <v>372</v>
      </c>
      <c r="B56" s="80">
        <v>5223001</v>
      </c>
      <c r="C56" s="104" t="s">
        <v>371</v>
      </c>
      <c r="D56" s="80"/>
      <c r="E56" s="80">
        <v>16689.71</v>
      </c>
      <c r="F56" s="80">
        <v>16411.55</v>
      </c>
      <c r="G56" s="135">
        <f t="shared" si="2"/>
        <v>223005.43999999997</v>
      </c>
      <c r="H56" s="112">
        <v>200443.78</v>
      </c>
      <c r="I56" s="112">
        <f>7663.64+3699.19</f>
        <v>11362.83</v>
      </c>
      <c r="J56" s="112">
        <f>2329.75+1124.55</f>
        <v>3454.3</v>
      </c>
      <c r="K56" s="112">
        <v>7744.53</v>
      </c>
      <c r="L56" s="136">
        <f t="shared" si="1"/>
        <v>-206315.72999999998</v>
      </c>
      <c r="M56" s="127"/>
      <c r="N56" s="128"/>
    </row>
    <row r="57" spans="1:14" ht="30">
      <c r="A57" s="104" t="s">
        <v>373</v>
      </c>
      <c r="B57" s="80">
        <v>5083001</v>
      </c>
      <c r="C57" s="104" t="s">
        <v>331</v>
      </c>
      <c r="D57" s="80"/>
      <c r="E57" s="112">
        <v>550</v>
      </c>
      <c r="F57" s="112">
        <v>550</v>
      </c>
      <c r="G57" s="133">
        <f t="shared" si="2"/>
        <v>130543.97999999998</v>
      </c>
      <c r="H57" s="112">
        <f>47549.17+42232.5</f>
        <v>89781.67</v>
      </c>
      <c r="I57" s="112">
        <f>6222.28+2551.95+6222.28+1390.97</f>
        <v>16387.48</v>
      </c>
      <c r="J57" s="112">
        <f>1891.57+775.79+1891.57+422.86</f>
        <v>4981.789999999999</v>
      </c>
      <c r="K57" s="112">
        <f>12249.34+7143.7</f>
        <v>19393.04</v>
      </c>
      <c r="L57" s="136">
        <f t="shared" si="1"/>
        <v>-129993.97999999998</v>
      </c>
      <c r="M57" s="106">
        <v>0.13</v>
      </c>
      <c r="N57" s="80" t="s">
        <v>300</v>
      </c>
    </row>
    <row r="58" spans="1:14" ht="30">
      <c r="A58" s="104" t="s">
        <v>375</v>
      </c>
      <c r="B58" s="80">
        <v>4896004</v>
      </c>
      <c r="C58" s="104" t="s">
        <v>348</v>
      </c>
      <c r="D58" s="80"/>
      <c r="E58" s="112">
        <v>17294.91</v>
      </c>
      <c r="F58" s="112">
        <v>17294.91</v>
      </c>
      <c r="G58" s="135">
        <f t="shared" si="2"/>
        <v>223181.27999999997</v>
      </c>
      <c r="H58" s="112">
        <v>200625</v>
      </c>
      <c r="I58" s="112">
        <f>7663.64+3699.19</f>
        <v>11362.83</v>
      </c>
      <c r="J58" s="112">
        <f>2329.75+1124.55</f>
        <v>3454.3</v>
      </c>
      <c r="K58" s="112">
        <v>7739.15</v>
      </c>
      <c r="L58" s="136">
        <f t="shared" si="1"/>
        <v>-205886.36999999997</v>
      </c>
      <c r="M58" s="127"/>
      <c r="N58" s="128"/>
    </row>
    <row r="59" spans="1:14" ht="30">
      <c r="A59" s="104" t="s">
        <v>377</v>
      </c>
      <c r="B59" s="80">
        <v>5334002</v>
      </c>
      <c r="C59" s="104" t="s">
        <v>378</v>
      </c>
      <c r="D59" s="80"/>
      <c r="E59" s="112">
        <v>17294.9</v>
      </c>
      <c r="F59" s="112">
        <v>17294.9</v>
      </c>
      <c r="G59" s="135">
        <f t="shared" si="2"/>
        <v>43231.86</v>
      </c>
      <c r="H59" s="112">
        <v>15086.06</v>
      </c>
      <c r="I59" s="112">
        <f>5310.75+3745.11</f>
        <v>9055.86</v>
      </c>
      <c r="J59" s="112">
        <f>1614.47+1138.51</f>
        <v>2752.98</v>
      </c>
      <c r="K59" s="112">
        <v>16336.96</v>
      </c>
      <c r="L59" s="136">
        <f t="shared" si="1"/>
        <v>-25936.96</v>
      </c>
      <c r="M59" s="106">
        <v>0.018</v>
      </c>
      <c r="N59" s="80" t="s">
        <v>369</v>
      </c>
    </row>
    <row r="60" spans="1:14" ht="15">
      <c r="A60" s="104" t="s">
        <v>379</v>
      </c>
      <c r="B60" s="80">
        <v>846110</v>
      </c>
      <c r="C60" s="104" t="s">
        <v>380</v>
      </c>
      <c r="D60" s="80"/>
      <c r="E60" s="112">
        <v>17294.9</v>
      </c>
      <c r="F60" s="112">
        <v>17294.9</v>
      </c>
      <c r="G60" s="135">
        <f t="shared" si="2"/>
        <v>30431.08</v>
      </c>
      <c r="H60" s="112">
        <v>7448.78</v>
      </c>
      <c r="I60" s="112">
        <f>8286.39+2781.94</f>
        <v>11068.33</v>
      </c>
      <c r="J60" s="112">
        <f>2519.06+845.71</f>
        <v>3364.77</v>
      </c>
      <c r="K60" s="112">
        <v>8549.2</v>
      </c>
      <c r="L60" s="136">
        <f t="shared" si="1"/>
        <v>-13136.18</v>
      </c>
      <c r="M60" s="127"/>
      <c r="N60" s="128"/>
    </row>
    <row r="61" spans="1:14" ht="15">
      <c r="A61" s="104" t="s">
        <v>381</v>
      </c>
      <c r="B61" s="80">
        <v>5347001</v>
      </c>
      <c r="C61" s="104" t="s">
        <v>382</v>
      </c>
      <c r="D61" s="80"/>
      <c r="E61" s="112">
        <v>17294.9</v>
      </c>
      <c r="F61" s="112">
        <v>8000</v>
      </c>
      <c r="G61" s="135">
        <f t="shared" si="2"/>
        <v>861081.56</v>
      </c>
      <c r="H61" s="112">
        <f>348815.89+189637.76</f>
        <v>538453.65</v>
      </c>
      <c r="I61" s="112">
        <f>56917.02+19185.87+66806.45+20090.11</f>
        <v>162999.45</v>
      </c>
      <c r="J61" s="112">
        <f>17302.78+5832.51+20309.16+6107.39</f>
        <v>49551.84</v>
      </c>
      <c r="K61" s="112">
        <f>62100.55+47976.07</f>
        <v>110076.62</v>
      </c>
      <c r="L61" s="136">
        <f t="shared" si="1"/>
        <v>-843786.66</v>
      </c>
      <c r="M61" s="106">
        <v>0.735</v>
      </c>
      <c r="N61" s="80" t="s">
        <v>226</v>
      </c>
    </row>
    <row r="62" spans="1:14" ht="15">
      <c r="A62" s="104" t="s">
        <v>383</v>
      </c>
      <c r="B62" s="80">
        <v>5441001</v>
      </c>
      <c r="C62" s="104" t="s">
        <v>384</v>
      </c>
      <c r="D62" s="80"/>
      <c r="E62" s="112">
        <v>550</v>
      </c>
      <c r="F62" s="112">
        <v>550</v>
      </c>
      <c r="G62" s="133">
        <f t="shared" si="2"/>
        <v>87540.09</v>
      </c>
      <c r="H62" s="112">
        <v>42962.02</v>
      </c>
      <c r="I62" s="112">
        <f>10783.95+4138.33</f>
        <v>14922.28</v>
      </c>
      <c r="J62" s="112">
        <f>3278.32+1258.05</f>
        <v>4536.37</v>
      </c>
      <c r="K62" s="112">
        <v>25119.42</v>
      </c>
      <c r="L62" s="136">
        <f t="shared" si="1"/>
        <v>-86990.09</v>
      </c>
      <c r="M62" s="106">
        <v>0.15</v>
      </c>
      <c r="N62" s="80" t="s">
        <v>224</v>
      </c>
    </row>
    <row r="63" spans="1:14" ht="30">
      <c r="A63" s="104" t="s">
        <v>286</v>
      </c>
      <c r="B63" s="80">
        <v>5443001</v>
      </c>
      <c r="C63" s="104" t="s">
        <v>385</v>
      </c>
      <c r="D63" s="80"/>
      <c r="E63" s="112">
        <v>550</v>
      </c>
      <c r="F63" s="112">
        <v>550</v>
      </c>
      <c r="G63" s="133">
        <f t="shared" si="2"/>
        <v>54035.92</v>
      </c>
      <c r="H63" s="112">
        <v>20262.09</v>
      </c>
      <c r="I63" s="112">
        <f>7362.7+3116.78</f>
        <v>10479.48</v>
      </c>
      <c r="J63" s="112">
        <f>2238.26+947.5</f>
        <v>3185.76</v>
      </c>
      <c r="K63" s="112">
        <v>20108.59</v>
      </c>
      <c r="L63" s="136">
        <f aca="true" t="shared" si="3" ref="L63:L70">E63-G63</f>
        <v>-53485.92</v>
      </c>
      <c r="M63" s="106">
        <v>0.12</v>
      </c>
      <c r="N63" s="80" t="s">
        <v>289</v>
      </c>
    </row>
    <row r="64" spans="1:14" ht="15">
      <c r="A64" s="104" t="s">
        <v>386</v>
      </c>
      <c r="B64" s="80">
        <v>5360001</v>
      </c>
      <c r="C64" s="104" t="s">
        <v>387</v>
      </c>
      <c r="D64" s="80"/>
      <c r="E64" s="112">
        <v>550</v>
      </c>
      <c r="F64" s="112">
        <v>550</v>
      </c>
      <c r="G64" s="133">
        <f t="shared" si="2"/>
        <v>82812.9</v>
      </c>
      <c r="H64" s="112">
        <v>41299.95</v>
      </c>
      <c r="I64" s="112">
        <f>8503.11+4068.61</f>
        <v>12571.720000000001</v>
      </c>
      <c r="J64" s="112">
        <f>2584.95+1236.86</f>
        <v>3821.8099999999995</v>
      </c>
      <c r="K64" s="112">
        <v>25119.42</v>
      </c>
      <c r="L64" s="136">
        <f t="shared" si="3"/>
        <v>-82262.9</v>
      </c>
      <c r="M64" s="106">
        <v>0.155</v>
      </c>
      <c r="N64" s="80" t="s">
        <v>289</v>
      </c>
    </row>
    <row r="65" spans="1:14" ht="30">
      <c r="A65" s="104" t="s">
        <v>389</v>
      </c>
      <c r="B65" s="80">
        <v>5371001</v>
      </c>
      <c r="C65" s="104" t="s">
        <v>390</v>
      </c>
      <c r="D65" s="80"/>
      <c r="E65" s="112">
        <v>17294.91</v>
      </c>
      <c r="F65" s="112">
        <v>7782.71</v>
      </c>
      <c r="G65" s="135">
        <f t="shared" si="2"/>
        <v>44729.39</v>
      </c>
      <c r="H65" s="112">
        <v>7525.72</v>
      </c>
      <c r="I65" s="112">
        <f>7753.22+6216.52</f>
        <v>13969.740000000002</v>
      </c>
      <c r="J65" s="112">
        <f>2356.98+1889.82</f>
        <v>4246.8</v>
      </c>
      <c r="K65" s="112">
        <v>18987.13</v>
      </c>
      <c r="L65" s="136">
        <f t="shared" si="3"/>
        <v>-27434.48</v>
      </c>
      <c r="M65" s="106">
        <v>0.023</v>
      </c>
      <c r="N65" s="80" t="s">
        <v>230</v>
      </c>
    </row>
    <row r="66" spans="1:14" ht="45">
      <c r="A66" s="104" t="s">
        <v>393</v>
      </c>
      <c r="B66" s="80">
        <v>5384001</v>
      </c>
      <c r="C66" s="104" t="s">
        <v>394</v>
      </c>
      <c r="D66" s="80"/>
      <c r="E66" s="112">
        <v>17294.9</v>
      </c>
      <c r="F66" s="112">
        <v>17294.9</v>
      </c>
      <c r="G66" s="135">
        <f t="shared" si="2"/>
        <v>216457.24999999997</v>
      </c>
      <c r="H66" s="112">
        <v>190833.33</v>
      </c>
      <c r="I66" s="112">
        <f>7663.64+3699.19</f>
        <v>11362.83</v>
      </c>
      <c r="J66" s="112">
        <f>2329.75+1124.55</f>
        <v>3454.3</v>
      </c>
      <c r="K66" s="112">
        <v>10806.79</v>
      </c>
      <c r="L66" s="136">
        <f t="shared" si="3"/>
        <v>-199162.34999999998</v>
      </c>
      <c r="M66" s="127"/>
      <c r="N66" s="128"/>
    </row>
    <row r="67" spans="1:14" ht="30">
      <c r="A67" s="104" t="s">
        <v>395</v>
      </c>
      <c r="B67" s="80">
        <v>5446001</v>
      </c>
      <c r="C67" s="104" t="s">
        <v>396</v>
      </c>
      <c r="D67" s="80"/>
      <c r="E67" s="112">
        <v>17294.9</v>
      </c>
      <c r="F67" s="112">
        <v>17294.9</v>
      </c>
      <c r="G67" s="135">
        <f t="shared" si="2"/>
        <v>293123.92</v>
      </c>
      <c r="H67" s="112">
        <v>267500</v>
      </c>
      <c r="I67" s="112">
        <f>7663.64+3699.19</f>
        <v>11362.83</v>
      </c>
      <c r="J67" s="112">
        <f>2329.75+1124.55</f>
        <v>3454.3</v>
      </c>
      <c r="K67" s="112">
        <v>10806.79</v>
      </c>
      <c r="L67" s="136">
        <f t="shared" si="3"/>
        <v>-275829.01999999996</v>
      </c>
      <c r="M67" s="127"/>
      <c r="N67" s="128"/>
    </row>
    <row r="68" spans="1:14" ht="30">
      <c r="A68" s="104" t="s">
        <v>356</v>
      </c>
      <c r="B68" s="80">
        <v>5375001</v>
      </c>
      <c r="C68" s="104" t="s">
        <v>397</v>
      </c>
      <c r="D68" s="80"/>
      <c r="E68" s="112">
        <v>17294.9</v>
      </c>
      <c r="F68" s="112">
        <v>17294.9</v>
      </c>
      <c r="G68" s="135">
        <f t="shared" si="2"/>
        <v>106954.3</v>
      </c>
      <c r="H68" s="112">
        <v>76942.41</v>
      </c>
      <c r="I68" s="112">
        <f>6222.28+3116.78</f>
        <v>9339.06</v>
      </c>
      <c r="J68" s="112">
        <f>1891.57+947.5</f>
        <v>2839.0699999999997</v>
      </c>
      <c r="K68" s="112">
        <v>17833.76</v>
      </c>
      <c r="L68" s="136">
        <f t="shared" si="3"/>
        <v>-89659.4</v>
      </c>
      <c r="M68" s="106">
        <v>0.225</v>
      </c>
      <c r="N68" s="80" t="s">
        <v>300</v>
      </c>
    </row>
    <row r="69" spans="1:14" ht="45">
      <c r="A69" s="104" t="s">
        <v>398</v>
      </c>
      <c r="B69" s="80">
        <v>5384001</v>
      </c>
      <c r="C69" s="104" t="s">
        <v>394</v>
      </c>
      <c r="D69" s="80"/>
      <c r="E69" s="112">
        <v>17294.9</v>
      </c>
      <c r="F69" s="112">
        <v>17294.9</v>
      </c>
      <c r="G69" s="135">
        <f t="shared" si="2"/>
        <v>101136.50999999998</v>
      </c>
      <c r="H69" s="112">
        <v>61875.77</v>
      </c>
      <c r="I69" s="112">
        <f>8503.11+4068.61</f>
        <v>12571.720000000001</v>
      </c>
      <c r="J69" s="112">
        <f>2584.95+1236.86</f>
        <v>3821.8099999999995</v>
      </c>
      <c r="K69" s="112">
        <v>22867.21</v>
      </c>
      <c r="L69" s="136">
        <f t="shared" si="3"/>
        <v>-83841.60999999999</v>
      </c>
      <c r="M69" s="106">
        <v>0.12</v>
      </c>
      <c r="N69" s="80" t="s">
        <v>300</v>
      </c>
    </row>
    <row r="70" spans="1:14" ht="15">
      <c r="A70" s="104" t="s">
        <v>217</v>
      </c>
      <c r="B70" s="80"/>
      <c r="C70" s="104"/>
      <c r="D70" s="80"/>
      <c r="E70" s="105">
        <f>SUM(E5:E69)</f>
        <v>2654058.309999999</v>
      </c>
      <c r="F70" s="105">
        <f>SUM(F5:F69)</f>
        <v>1984910.9999999995</v>
      </c>
      <c r="G70" s="136">
        <f t="shared" si="2"/>
        <v>10859578.839999998</v>
      </c>
      <c r="H70" s="105">
        <f>SUM(H5:H69)</f>
        <v>7234705.799999998</v>
      </c>
      <c r="I70" s="105">
        <f>SUM(I5:I69)</f>
        <v>1670796.4800000002</v>
      </c>
      <c r="J70" s="105">
        <f>SUM(J5:J69)</f>
        <v>507831.6399999999</v>
      </c>
      <c r="K70" s="105">
        <f>SUM(K5:K69)</f>
        <v>1446244.92</v>
      </c>
      <c r="L70" s="136">
        <f t="shared" si="3"/>
        <v>-8205520.529999999</v>
      </c>
      <c r="M70" s="106"/>
      <c r="N70" s="80"/>
    </row>
    <row r="72" spans="5:12" ht="15">
      <c r="E72" s="98">
        <f>E70</f>
        <v>2654058.309999999</v>
      </c>
      <c r="F72" s="98">
        <f aca="true" t="shared" si="4" ref="F72:L72">F70</f>
        <v>1984910.9999999995</v>
      </c>
      <c r="G72" s="98">
        <f t="shared" si="4"/>
        <v>10859578.839999998</v>
      </c>
      <c r="H72" s="98">
        <f t="shared" si="4"/>
        <v>7234705.799999998</v>
      </c>
      <c r="I72" s="98">
        <f t="shared" si="4"/>
        <v>1670796.4800000002</v>
      </c>
      <c r="J72" s="98">
        <f t="shared" si="4"/>
        <v>507831.6399999999</v>
      </c>
      <c r="K72" s="98">
        <f t="shared" si="4"/>
        <v>1446244.92</v>
      </c>
      <c r="L72" s="98">
        <f t="shared" si="4"/>
        <v>-8205520.529999999</v>
      </c>
    </row>
  </sheetData>
  <sheetProtection/>
  <mergeCells count="10">
    <mergeCell ref="M2:N2"/>
    <mergeCell ref="A3:A4"/>
    <mergeCell ref="B3:B4"/>
    <mergeCell ref="C3:C4"/>
    <mergeCell ref="D3:D4"/>
    <mergeCell ref="E3:E4"/>
    <mergeCell ref="F3:F4"/>
    <mergeCell ref="G3:K3"/>
    <mergeCell ref="L3:L4"/>
    <mergeCell ref="M3:N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AH17"/>
  <sheetViews>
    <sheetView zoomScalePageLayoutView="0" workbookViewId="0" topLeftCell="A1">
      <selection activeCell="W14" sqref="W14"/>
    </sheetView>
  </sheetViews>
  <sheetFormatPr defaultColWidth="9.00390625" defaultRowHeight="11.25" customHeight="1" outlineLevelRow="2" outlineLevelCol="1"/>
  <cols>
    <col min="1" max="1" width="9.00390625" style="199" customWidth="1"/>
    <col min="2" max="2" width="16.00390625" style="199" customWidth="1"/>
    <col min="3" max="3" width="5.00390625" style="199" customWidth="1"/>
    <col min="4" max="4" width="10.57421875" style="199" customWidth="1"/>
    <col min="5" max="5" width="6.57421875" style="199" customWidth="1"/>
    <col min="6" max="6" width="9.00390625" style="199" customWidth="1"/>
    <col min="7" max="7" width="3.7109375" style="199" customWidth="1"/>
    <col min="8" max="8" width="4.28125" style="199" customWidth="1"/>
    <col min="9" max="9" width="8.00390625" style="199" customWidth="1"/>
    <col min="10" max="10" width="7.7109375" style="199" hidden="1" customWidth="1" outlineLevel="1"/>
    <col min="11" max="11" width="7.8515625" style="199" hidden="1" customWidth="1" outlineLevel="1"/>
    <col min="12" max="22" width="15.57421875" style="199" hidden="1" customWidth="1" outlineLevel="1"/>
    <col min="23" max="23" width="15.57421875" style="199" customWidth="1" collapsed="1"/>
    <col min="24" max="26" width="15.57421875" style="199" customWidth="1" outlineLevel="1"/>
    <col min="27" max="27" width="15.57421875" style="199" customWidth="1"/>
    <col min="28" max="30" width="15.57421875" style="199" customWidth="1" outlineLevel="1"/>
    <col min="31" max="31" width="15.57421875" style="199" customWidth="1"/>
    <col min="32" max="32" width="15.57421875" style="199" customWidth="1" outlineLevel="1"/>
    <col min="33" max="34" width="15.57421875" style="199" customWidth="1"/>
  </cols>
  <sheetData>
    <row r="1" s="199" customFormat="1" ht="9.75" customHeight="1"/>
    <row r="2" spans="1:7" ht="24.75" customHeight="1">
      <c r="A2" s="200" t="s">
        <v>606</v>
      </c>
      <c r="B2" s="200"/>
      <c r="C2" s="200"/>
      <c r="D2" s="200"/>
      <c r="E2" s="200"/>
      <c r="F2" s="200"/>
      <c r="G2" s="200"/>
    </row>
    <row r="3" s="199" customFormat="1" ht="9.75" customHeight="1"/>
    <row r="4" spans="1:10" ht="36.75" customHeight="1">
      <c r="A4" s="400" t="s">
        <v>607</v>
      </c>
      <c r="B4" s="400"/>
      <c r="C4" s="400"/>
      <c r="D4" s="400" t="s">
        <v>608</v>
      </c>
      <c r="E4" s="400"/>
      <c r="F4" s="400"/>
      <c r="G4" s="400"/>
      <c r="H4" s="400"/>
      <c r="I4" s="400"/>
      <c r="J4" s="400"/>
    </row>
    <row r="5" spans="1:10" ht="18.75" customHeight="1">
      <c r="A5" s="400" t="s">
        <v>609</v>
      </c>
      <c r="B5" s="400"/>
      <c r="C5" s="400"/>
      <c r="D5" s="400" t="s">
        <v>646</v>
      </c>
      <c r="E5" s="400"/>
      <c r="F5" s="400"/>
      <c r="G5" s="400"/>
      <c r="H5" s="400"/>
      <c r="I5" s="400"/>
      <c r="J5" s="400"/>
    </row>
    <row r="6" s="199" customFormat="1" ht="9.75" customHeight="1"/>
    <row r="7" spans="1:34" ht="18.75" customHeight="1" outlineLevel="1">
      <c r="A7" s="399" t="s">
        <v>611</v>
      </c>
      <c r="B7" s="399"/>
      <c r="C7" s="397" t="s">
        <v>612</v>
      </c>
      <c r="D7" s="397"/>
      <c r="E7" s="403" t="s">
        <v>613</v>
      </c>
      <c r="F7" s="403"/>
      <c r="G7" s="403" t="s">
        <v>614</v>
      </c>
      <c r="H7" s="403"/>
      <c r="I7" s="403"/>
      <c r="J7" s="395" t="s">
        <v>615</v>
      </c>
      <c r="K7" s="395"/>
      <c r="L7" s="395" t="s">
        <v>616</v>
      </c>
      <c r="M7" s="395" t="s">
        <v>647</v>
      </c>
      <c r="N7" s="395" t="s">
        <v>617</v>
      </c>
      <c r="O7" s="395" t="s">
        <v>618</v>
      </c>
      <c r="P7" s="395" t="s">
        <v>619</v>
      </c>
      <c r="Q7" s="395" t="s">
        <v>620</v>
      </c>
      <c r="R7" s="395" t="s">
        <v>648</v>
      </c>
      <c r="S7" s="395" t="s">
        <v>622</v>
      </c>
      <c r="T7" s="395" t="s">
        <v>623</v>
      </c>
      <c r="U7" s="395" t="s">
        <v>649</v>
      </c>
      <c r="V7" s="395" t="s">
        <v>650</v>
      </c>
      <c r="W7" s="397" t="s">
        <v>625</v>
      </c>
      <c r="X7" s="395" t="s">
        <v>626</v>
      </c>
      <c r="Y7" s="395" t="s">
        <v>627</v>
      </c>
      <c r="Z7" s="395" t="s">
        <v>628</v>
      </c>
      <c r="AA7" s="397" t="s">
        <v>629</v>
      </c>
      <c r="AB7" s="395" t="s">
        <v>630</v>
      </c>
      <c r="AC7" s="395" t="s">
        <v>631</v>
      </c>
      <c r="AD7" s="395" t="s">
        <v>632</v>
      </c>
      <c r="AE7" s="397" t="s">
        <v>633</v>
      </c>
      <c r="AF7" s="395" t="s">
        <v>636</v>
      </c>
      <c r="AG7" s="397" t="s">
        <v>141</v>
      </c>
      <c r="AH7" s="397" t="s">
        <v>637</v>
      </c>
    </row>
    <row r="8" spans="1:34" ht="18.75" customHeight="1" outlineLevel="1">
      <c r="A8" s="399" t="s">
        <v>638</v>
      </c>
      <c r="B8" s="399"/>
      <c r="C8" s="401"/>
      <c r="D8" s="402"/>
      <c r="E8" s="201" t="s">
        <v>639</v>
      </c>
      <c r="F8" s="201" t="s">
        <v>640</v>
      </c>
      <c r="G8" s="399" t="s">
        <v>639</v>
      </c>
      <c r="H8" s="399"/>
      <c r="I8" s="201" t="s">
        <v>640</v>
      </c>
      <c r="J8" s="404"/>
      <c r="K8" s="405"/>
      <c r="L8" s="396"/>
      <c r="M8" s="396"/>
      <c r="N8" s="396"/>
      <c r="O8" s="396"/>
      <c r="P8" s="396"/>
      <c r="Q8" s="396"/>
      <c r="R8" s="396"/>
      <c r="S8" s="396"/>
      <c r="T8" s="396"/>
      <c r="U8" s="396"/>
      <c r="V8" s="396"/>
      <c r="W8" s="398"/>
      <c r="X8" s="396"/>
      <c r="Y8" s="396"/>
      <c r="Z8" s="396"/>
      <c r="AA8" s="398"/>
      <c r="AB8" s="396"/>
      <c r="AC8" s="396"/>
      <c r="AD8" s="396"/>
      <c r="AE8" s="398"/>
      <c r="AF8" s="396"/>
      <c r="AG8" s="398"/>
      <c r="AH8" s="398"/>
    </row>
    <row r="9" spans="1:34" ht="21.75" customHeight="1" outlineLevel="1">
      <c r="A9" s="392" t="s">
        <v>641</v>
      </c>
      <c r="B9" s="392"/>
      <c r="C9" s="394">
        <v>65153.16</v>
      </c>
      <c r="D9" s="394"/>
      <c r="E9" s="204">
        <v>813</v>
      </c>
      <c r="F9" s="222">
        <v>6475.5</v>
      </c>
      <c r="G9" s="393">
        <v>172</v>
      </c>
      <c r="H9" s="393"/>
      <c r="I9" s="205">
        <v>1246</v>
      </c>
      <c r="J9" s="394">
        <v>6778.08</v>
      </c>
      <c r="K9" s="394"/>
      <c r="L9" s="206">
        <v>923584.58</v>
      </c>
      <c r="M9" s="223">
        <v>854.78</v>
      </c>
      <c r="N9" s="206">
        <v>160272.23</v>
      </c>
      <c r="O9" s="206">
        <v>81231.36</v>
      </c>
      <c r="P9" s="206">
        <v>29180.73</v>
      </c>
      <c r="Q9" s="206">
        <v>11071.6</v>
      </c>
      <c r="R9" s="206">
        <v>1959.21</v>
      </c>
      <c r="S9" s="206">
        <v>41040</v>
      </c>
      <c r="T9" s="206">
        <v>15909</v>
      </c>
      <c r="U9" s="206">
        <v>96311</v>
      </c>
      <c r="V9" s="206">
        <v>498243.88</v>
      </c>
      <c r="W9" s="206">
        <v>1866436.45</v>
      </c>
      <c r="X9" s="206">
        <v>220098</v>
      </c>
      <c r="Y9" s="206">
        <v>17362</v>
      </c>
      <c r="Z9" s="206">
        <v>8488.61</v>
      </c>
      <c r="AA9" s="206">
        <v>245948.61</v>
      </c>
      <c r="AB9" s="206">
        <v>515400</v>
      </c>
      <c r="AC9" s="206">
        <v>838438.82</v>
      </c>
      <c r="AD9" s="206">
        <v>331802.18</v>
      </c>
      <c r="AE9" s="206">
        <v>1685641</v>
      </c>
      <c r="AF9" s="206">
        <v>17339</v>
      </c>
      <c r="AG9" s="206">
        <v>17339</v>
      </c>
      <c r="AH9" s="224"/>
    </row>
    <row r="10" spans="1:34" ht="15" outlineLevel="2">
      <c r="A10" s="386" t="s">
        <v>642</v>
      </c>
      <c r="B10" s="386"/>
      <c r="C10" s="391">
        <v>16506.06</v>
      </c>
      <c r="D10" s="391"/>
      <c r="E10" s="209">
        <v>216</v>
      </c>
      <c r="F10" s="210">
        <v>1722</v>
      </c>
      <c r="G10" s="387">
        <v>31</v>
      </c>
      <c r="H10" s="387"/>
      <c r="I10" s="209">
        <v>248</v>
      </c>
      <c r="J10" s="213"/>
      <c r="K10" s="214"/>
      <c r="L10" s="211">
        <v>246012.84</v>
      </c>
      <c r="M10" s="212"/>
      <c r="N10" s="211">
        <v>39001.34</v>
      </c>
      <c r="O10" s="211">
        <v>12692.53</v>
      </c>
      <c r="P10" s="211">
        <v>6933.48</v>
      </c>
      <c r="Q10" s="211">
        <v>6759.78</v>
      </c>
      <c r="R10" s="212"/>
      <c r="S10" s="211">
        <v>7950</v>
      </c>
      <c r="T10" s="211">
        <v>5989</v>
      </c>
      <c r="U10" s="211">
        <v>24078</v>
      </c>
      <c r="V10" s="211">
        <v>132108.91</v>
      </c>
      <c r="W10" s="211">
        <v>481525.88</v>
      </c>
      <c r="X10" s="211">
        <v>44974</v>
      </c>
      <c r="Y10" s="211">
        <v>17362</v>
      </c>
      <c r="Z10" s="211">
        <v>4619.01</v>
      </c>
      <c r="AA10" s="211">
        <v>66955.01</v>
      </c>
      <c r="AB10" s="211">
        <v>134800</v>
      </c>
      <c r="AC10" s="211">
        <v>220296.37</v>
      </c>
      <c r="AD10" s="211">
        <v>75980.56</v>
      </c>
      <c r="AE10" s="211">
        <v>431076.93</v>
      </c>
      <c r="AF10" s="211">
        <v>17339</v>
      </c>
      <c r="AG10" s="211">
        <v>17339</v>
      </c>
      <c r="AH10" s="225"/>
    </row>
    <row r="11" spans="1:34" ht="15" outlineLevel="2">
      <c r="A11" s="386" t="s">
        <v>643</v>
      </c>
      <c r="B11" s="386"/>
      <c r="C11" s="391">
        <v>16506.06</v>
      </c>
      <c r="D11" s="391"/>
      <c r="E11" s="209">
        <v>173</v>
      </c>
      <c r="F11" s="210">
        <v>1378</v>
      </c>
      <c r="G11" s="387">
        <v>60</v>
      </c>
      <c r="H11" s="387"/>
      <c r="I11" s="209">
        <v>440</v>
      </c>
      <c r="J11" s="213"/>
      <c r="K11" s="214"/>
      <c r="L11" s="211">
        <v>197254.96</v>
      </c>
      <c r="M11" s="212"/>
      <c r="N11" s="211">
        <v>38130.96</v>
      </c>
      <c r="O11" s="211">
        <v>56821.36</v>
      </c>
      <c r="P11" s="211">
        <v>16103.82</v>
      </c>
      <c r="Q11" s="211">
        <v>4311.82</v>
      </c>
      <c r="R11" s="211">
        <v>1959.21</v>
      </c>
      <c r="S11" s="211">
        <v>7380</v>
      </c>
      <c r="T11" s="211">
        <v>7920</v>
      </c>
      <c r="U11" s="211">
        <v>24078</v>
      </c>
      <c r="V11" s="211">
        <v>105925.9</v>
      </c>
      <c r="W11" s="211">
        <v>459886.03</v>
      </c>
      <c r="X11" s="211">
        <v>58147</v>
      </c>
      <c r="Y11" s="212"/>
      <c r="Z11" s="211">
        <v>3869.6</v>
      </c>
      <c r="AA11" s="211">
        <v>62016.6</v>
      </c>
      <c r="AB11" s="211">
        <v>110900</v>
      </c>
      <c r="AC11" s="211">
        <v>178784.44</v>
      </c>
      <c r="AD11" s="211">
        <v>124691.05</v>
      </c>
      <c r="AE11" s="211">
        <v>414375.49</v>
      </c>
      <c r="AF11" s="212"/>
      <c r="AG11" s="212"/>
      <c r="AH11" s="225"/>
    </row>
    <row r="12" spans="1:34" ht="15" outlineLevel="2">
      <c r="A12" s="386" t="s">
        <v>644</v>
      </c>
      <c r="B12" s="386"/>
      <c r="C12" s="391">
        <v>18836.95</v>
      </c>
      <c r="D12" s="391"/>
      <c r="E12" s="209">
        <v>222</v>
      </c>
      <c r="F12" s="226">
        <v>1765.5</v>
      </c>
      <c r="G12" s="387">
        <v>29</v>
      </c>
      <c r="H12" s="387"/>
      <c r="I12" s="209">
        <v>214</v>
      </c>
      <c r="J12" s="391">
        <v>6778.08</v>
      </c>
      <c r="K12" s="391"/>
      <c r="L12" s="211">
        <v>278837.94</v>
      </c>
      <c r="M12" s="227">
        <v>854.78</v>
      </c>
      <c r="N12" s="211">
        <v>52611.91</v>
      </c>
      <c r="O12" s="211">
        <v>1206.97</v>
      </c>
      <c r="P12" s="211">
        <v>3620.91</v>
      </c>
      <c r="Q12" s="212"/>
      <c r="R12" s="212"/>
      <c r="S12" s="211">
        <v>25710</v>
      </c>
      <c r="T12" s="211">
        <v>1000</v>
      </c>
      <c r="U12" s="211">
        <v>27075</v>
      </c>
      <c r="V12" s="211">
        <v>152014.93</v>
      </c>
      <c r="W12" s="211">
        <v>549710.52</v>
      </c>
      <c r="X12" s="211">
        <v>70188</v>
      </c>
      <c r="Y12" s="212"/>
      <c r="Z12" s="212"/>
      <c r="AA12" s="211">
        <v>70188</v>
      </c>
      <c r="AB12" s="211">
        <v>153300</v>
      </c>
      <c r="AC12" s="211">
        <v>269609</v>
      </c>
      <c r="AD12" s="211">
        <v>75450.47</v>
      </c>
      <c r="AE12" s="211">
        <v>498359.47</v>
      </c>
      <c r="AF12" s="212"/>
      <c r="AG12" s="212"/>
      <c r="AH12" s="225"/>
    </row>
    <row r="13" spans="1:34" ht="15" outlineLevel="2">
      <c r="A13" s="386" t="s">
        <v>645</v>
      </c>
      <c r="B13" s="386"/>
      <c r="C13" s="391">
        <v>13304.09</v>
      </c>
      <c r="D13" s="391"/>
      <c r="E13" s="209">
        <v>202</v>
      </c>
      <c r="F13" s="210">
        <v>1610</v>
      </c>
      <c r="G13" s="387">
        <v>52</v>
      </c>
      <c r="H13" s="387"/>
      <c r="I13" s="209">
        <v>344</v>
      </c>
      <c r="J13" s="213"/>
      <c r="K13" s="214"/>
      <c r="L13" s="211">
        <v>201478.84</v>
      </c>
      <c r="M13" s="212"/>
      <c r="N13" s="211">
        <v>30528.02</v>
      </c>
      <c r="O13" s="211">
        <v>10510.5</v>
      </c>
      <c r="P13" s="211">
        <v>2522.52</v>
      </c>
      <c r="Q13" s="212"/>
      <c r="R13" s="212"/>
      <c r="S13" s="212"/>
      <c r="T13" s="211">
        <v>1000</v>
      </c>
      <c r="U13" s="211">
        <v>21080</v>
      </c>
      <c r="V13" s="211">
        <v>108194.14</v>
      </c>
      <c r="W13" s="211">
        <v>375314.02</v>
      </c>
      <c r="X13" s="211">
        <v>46789</v>
      </c>
      <c r="Y13" s="212"/>
      <c r="Z13" s="212"/>
      <c r="AA13" s="211">
        <v>46789</v>
      </c>
      <c r="AB13" s="211">
        <v>116400</v>
      </c>
      <c r="AC13" s="211">
        <v>169749.01</v>
      </c>
      <c r="AD13" s="211">
        <v>55680.1</v>
      </c>
      <c r="AE13" s="211">
        <v>341829.11</v>
      </c>
      <c r="AF13" s="212"/>
      <c r="AG13" s="212"/>
      <c r="AH13" s="225"/>
    </row>
    <row r="14" spans="1:34" ht="15" outlineLevel="1">
      <c r="A14" s="388" t="s">
        <v>204</v>
      </c>
      <c r="B14" s="388"/>
      <c r="C14" s="390">
        <v>65153.16</v>
      </c>
      <c r="D14" s="390"/>
      <c r="E14" s="217">
        <v>813</v>
      </c>
      <c r="F14" s="228">
        <v>6475.5</v>
      </c>
      <c r="G14" s="389">
        <v>172</v>
      </c>
      <c r="H14" s="389"/>
      <c r="I14" s="218">
        <v>1246</v>
      </c>
      <c r="J14" s="390">
        <v>6778.08</v>
      </c>
      <c r="K14" s="390"/>
      <c r="L14" s="219">
        <v>923584.58</v>
      </c>
      <c r="M14" s="229">
        <v>854.78</v>
      </c>
      <c r="N14" s="219">
        <v>160272.23</v>
      </c>
      <c r="O14" s="219">
        <v>81231.36</v>
      </c>
      <c r="P14" s="219">
        <v>29180.73</v>
      </c>
      <c r="Q14" s="219">
        <v>11071.6</v>
      </c>
      <c r="R14" s="219">
        <v>1959.21</v>
      </c>
      <c r="S14" s="219">
        <v>41040</v>
      </c>
      <c r="T14" s="219">
        <v>15909</v>
      </c>
      <c r="U14" s="219">
        <v>96311</v>
      </c>
      <c r="V14" s="219">
        <v>498243.88</v>
      </c>
      <c r="W14" s="219">
        <v>1866436.45</v>
      </c>
      <c r="X14" s="219">
        <v>220098</v>
      </c>
      <c r="Y14" s="219">
        <v>17362</v>
      </c>
      <c r="Z14" s="219">
        <v>8488.61</v>
      </c>
      <c r="AA14" s="219">
        <v>245948.61</v>
      </c>
      <c r="AB14" s="219">
        <v>515400</v>
      </c>
      <c r="AC14" s="219">
        <v>838438.82</v>
      </c>
      <c r="AD14" s="219">
        <v>331802.18</v>
      </c>
      <c r="AE14" s="219">
        <v>1685641</v>
      </c>
      <c r="AF14" s="219">
        <v>17339</v>
      </c>
      <c r="AG14" s="219">
        <v>17339</v>
      </c>
      <c r="AH14" s="230"/>
    </row>
    <row r="15" s="199" customFormat="1" ht="15" outlineLevel="1"/>
    <row r="17" ht="11.25" customHeight="1">
      <c r="W17" s="206">
        <f>W9*0.304</f>
        <v>567396.6808</v>
      </c>
    </row>
  </sheetData>
  <sheetProtection/>
  <mergeCells count="55">
    <mergeCell ref="A4:C4"/>
    <mergeCell ref="D4:J4"/>
    <mergeCell ref="A5:C5"/>
    <mergeCell ref="D5:J5"/>
    <mergeCell ref="A7:B7"/>
    <mergeCell ref="C7:D8"/>
    <mergeCell ref="E7:F7"/>
    <mergeCell ref="G7:I7"/>
    <mergeCell ref="J7:K8"/>
    <mergeCell ref="L7:L8"/>
    <mergeCell ref="M7:M8"/>
    <mergeCell ref="N7:N8"/>
    <mergeCell ref="O7:O8"/>
    <mergeCell ref="P7:P8"/>
    <mergeCell ref="Q7:Q8"/>
    <mergeCell ref="AA7:AA8"/>
    <mergeCell ref="AB7:AB8"/>
    <mergeCell ref="AC7:AC8"/>
    <mergeCell ref="R7:R8"/>
    <mergeCell ref="S7:S8"/>
    <mergeCell ref="T7:T8"/>
    <mergeCell ref="U7:U8"/>
    <mergeCell ref="V7:V8"/>
    <mergeCell ref="W7:W8"/>
    <mergeCell ref="AD7:AD8"/>
    <mergeCell ref="AE7:AE8"/>
    <mergeCell ref="AF7:AF8"/>
    <mergeCell ref="AG7:AG8"/>
    <mergeCell ref="AH7:AH8"/>
    <mergeCell ref="A8:B8"/>
    <mergeCell ref="G8:H8"/>
    <mergeCell ref="X7:X8"/>
    <mergeCell ref="Y7:Y8"/>
    <mergeCell ref="Z7:Z8"/>
    <mergeCell ref="A9:B9"/>
    <mergeCell ref="C9:D9"/>
    <mergeCell ref="G9:H9"/>
    <mergeCell ref="J9:K9"/>
    <mergeCell ref="A10:B10"/>
    <mergeCell ref="C10:D10"/>
    <mergeCell ref="G10:H10"/>
    <mergeCell ref="A11:B11"/>
    <mergeCell ref="C11:D11"/>
    <mergeCell ref="G11:H11"/>
    <mergeCell ref="A12:B12"/>
    <mergeCell ref="C12:D12"/>
    <mergeCell ref="G12:H12"/>
    <mergeCell ref="J12:K12"/>
    <mergeCell ref="A13:B13"/>
    <mergeCell ref="C13:D13"/>
    <mergeCell ref="G13:H13"/>
    <mergeCell ref="A14:B14"/>
    <mergeCell ref="C14:D14"/>
    <mergeCell ref="G14:H14"/>
    <mergeCell ref="J14:K14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P32" sqref="P32"/>
    </sheetView>
  </sheetViews>
  <sheetFormatPr defaultColWidth="9.140625" defaultRowHeight="15"/>
  <cols>
    <col min="2" max="2" width="27.8515625" style="0" customWidth="1"/>
    <col min="3" max="3" width="17.7109375" style="0" customWidth="1"/>
    <col min="4" max="4" width="13.57421875" style="0" customWidth="1"/>
    <col min="5" max="5" width="14.8515625" style="0" customWidth="1"/>
  </cols>
  <sheetData>
    <row r="1" spans="1:5" s="47" customFormat="1" ht="12.75">
      <c r="A1" s="46"/>
      <c r="E1" s="47" t="s">
        <v>146</v>
      </c>
    </row>
    <row r="2" spans="1:7" s="47" customFormat="1" ht="30" customHeight="1">
      <c r="A2" s="370" t="s">
        <v>1</v>
      </c>
      <c r="B2" s="370"/>
      <c r="C2" s="370"/>
      <c r="D2" s="370"/>
      <c r="E2" s="370"/>
      <c r="F2" s="20"/>
      <c r="G2" s="20"/>
    </row>
    <row r="3" s="47" customFormat="1" ht="12.75">
      <c r="A3" s="46"/>
    </row>
    <row r="4" spans="1:4" s="47" customFormat="1" ht="15.75">
      <c r="A4" s="46"/>
      <c r="B4" s="71"/>
      <c r="C4" s="81" t="s">
        <v>147</v>
      </c>
      <c r="D4" s="71"/>
    </row>
    <row r="5" spans="1:4" s="47" customFormat="1" ht="15.75">
      <c r="A5" s="46"/>
      <c r="B5" s="71"/>
      <c r="C5" s="81" t="s">
        <v>148</v>
      </c>
      <c r="D5" s="71"/>
    </row>
    <row r="6" spans="1:4" s="47" customFormat="1" ht="15.75">
      <c r="A6" s="46"/>
      <c r="B6" s="71"/>
      <c r="C6" s="81" t="s">
        <v>149</v>
      </c>
      <c r="D6" s="71"/>
    </row>
    <row r="7" spans="1:4" s="47" customFormat="1" ht="15.75">
      <c r="A7" s="46"/>
      <c r="B7" s="71"/>
      <c r="C7" s="81" t="s">
        <v>150</v>
      </c>
      <c r="D7" s="71"/>
    </row>
    <row r="8" spans="1:4" s="47" customFormat="1" ht="15.75">
      <c r="A8" s="46"/>
      <c r="B8" s="71"/>
      <c r="C8" s="81" t="s">
        <v>151</v>
      </c>
      <c r="D8" s="71"/>
    </row>
    <row r="9" spans="1:3" s="47" customFormat="1" ht="12.75">
      <c r="A9" s="46"/>
      <c r="C9" s="48" t="s">
        <v>95</v>
      </c>
    </row>
    <row r="10" spans="1:3" s="47" customFormat="1" ht="12.75">
      <c r="A10" s="46"/>
      <c r="C10" s="48" t="s">
        <v>96</v>
      </c>
    </row>
    <row r="11" spans="1:5" s="47" customFormat="1" ht="13.5" thickBot="1">
      <c r="A11" s="46"/>
      <c r="E11" s="48" t="s">
        <v>97</v>
      </c>
    </row>
    <row r="12" spans="1:5" s="49" customFormat="1" ht="64.5" thickBot="1">
      <c r="A12" s="78" t="s">
        <v>98</v>
      </c>
      <c r="B12" s="79" t="s">
        <v>99</v>
      </c>
      <c r="C12" s="76" t="s">
        <v>245</v>
      </c>
      <c r="D12" s="76" t="s">
        <v>159</v>
      </c>
      <c r="E12" s="77" t="s">
        <v>158</v>
      </c>
    </row>
    <row r="13" spans="1:5" s="47" customFormat="1" ht="12.75">
      <c r="A13" s="75">
        <v>1</v>
      </c>
      <c r="B13" s="75">
        <v>2</v>
      </c>
      <c r="C13" s="75">
        <v>3</v>
      </c>
      <c r="D13" s="75">
        <v>4</v>
      </c>
      <c r="E13" s="75">
        <v>5</v>
      </c>
    </row>
    <row r="14" spans="1:5" s="47" customFormat="1" ht="15">
      <c r="A14" s="458" t="s">
        <v>152</v>
      </c>
      <c r="B14" s="459"/>
      <c r="C14" s="459"/>
      <c r="D14" s="459"/>
      <c r="E14" s="459"/>
    </row>
    <row r="15" spans="1:5" s="47" customFormat="1" ht="15">
      <c r="A15" s="74"/>
      <c r="B15" s="51" t="s">
        <v>145</v>
      </c>
      <c r="C15" s="231">
        <f>'Приложение № 2'!F45</f>
        <v>5901.813849160304</v>
      </c>
      <c r="D15" s="231">
        <f>'Приложение № 2'!F33</f>
        <v>11304.7750662252</v>
      </c>
      <c r="E15" s="80">
        <v>3237.04</v>
      </c>
    </row>
    <row r="16" spans="1:5" ht="15">
      <c r="A16" s="458" t="s">
        <v>156</v>
      </c>
      <c r="B16" s="459"/>
      <c r="C16" s="459"/>
      <c r="D16" s="459"/>
      <c r="E16" s="459"/>
    </row>
    <row r="17" spans="1:5" ht="15">
      <c r="A17" s="80"/>
      <c r="B17" s="80" t="s">
        <v>145</v>
      </c>
      <c r="C17" s="231">
        <f>'Приложение № 2'!F46</f>
        <v>3934.5425661068693</v>
      </c>
      <c r="D17" s="105">
        <f>'Приложение № 2'!F34</f>
        <v>12076.913874172185</v>
      </c>
      <c r="E17" s="80">
        <v>2559.45</v>
      </c>
    </row>
    <row r="18" spans="1:5" ht="15">
      <c r="A18" s="458" t="s">
        <v>160</v>
      </c>
      <c r="B18" s="459"/>
      <c r="C18" s="459"/>
      <c r="D18" s="459"/>
      <c r="E18" s="459"/>
    </row>
    <row r="19" spans="1:5" ht="15">
      <c r="A19" s="80"/>
      <c r="B19" s="80" t="s">
        <v>145</v>
      </c>
      <c r="C19" s="80"/>
      <c r="D19" s="80"/>
      <c r="E19" s="80">
        <v>2559.45</v>
      </c>
    </row>
    <row r="20" spans="1:5" ht="15">
      <c r="A20" s="458" t="s">
        <v>161</v>
      </c>
      <c r="B20" s="459"/>
      <c r="C20" s="459"/>
      <c r="D20" s="459"/>
      <c r="E20" s="459"/>
    </row>
    <row r="21" spans="1:5" ht="15">
      <c r="A21" s="80"/>
      <c r="B21" s="80" t="s">
        <v>145</v>
      </c>
      <c r="C21" s="80"/>
      <c r="D21" s="80"/>
      <c r="E21" s="80">
        <v>4209.35</v>
      </c>
    </row>
  </sheetData>
  <sheetProtection/>
  <mergeCells count="5">
    <mergeCell ref="A20:E20"/>
    <mergeCell ref="A2:E2"/>
    <mergeCell ref="A14:E14"/>
    <mergeCell ref="A16:E16"/>
    <mergeCell ref="A18:E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zoomScale="80" zoomScaleNormal="80" zoomScalePageLayoutView="0" workbookViewId="0" topLeftCell="A1">
      <selection activeCell="B34" sqref="B34"/>
    </sheetView>
  </sheetViews>
  <sheetFormatPr defaultColWidth="9.140625" defaultRowHeight="15"/>
  <cols>
    <col min="1" max="1" width="12.7109375" style="1" customWidth="1"/>
    <col min="2" max="2" width="65.7109375" style="1" customWidth="1"/>
    <col min="3" max="3" width="10.00390625" style="1" customWidth="1"/>
    <col min="4" max="4" width="14.57421875" style="1" customWidth="1"/>
    <col min="5" max="5" width="20.7109375" style="1" customWidth="1"/>
    <col min="6" max="6" width="15.8515625" style="1" customWidth="1"/>
    <col min="7" max="7" width="18.28125" style="1" customWidth="1"/>
    <col min="8" max="16384" width="9.140625" style="1" customWidth="1"/>
  </cols>
  <sheetData>
    <row r="1" spans="1:7" ht="15.75">
      <c r="A1" s="335" t="s">
        <v>0</v>
      </c>
      <c r="B1" s="335"/>
      <c r="C1" s="335"/>
      <c r="D1" s="335"/>
      <c r="E1" s="335"/>
      <c r="F1" s="335"/>
      <c r="G1" s="335"/>
    </row>
    <row r="2" spans="1:7" ht="15.75">
      <c r="A2" s="335" t="s">
        <v>1</v>
      </c>
      <c r="B2" s="335"/>
      <c r="C2" s="335"/>
      <c r="D2" s="335"/>
      <c r="E2" s="335"/>
      <c r="F2" s="335"/>
      <c r="G2" s="335"/>
    </row>
    <row r="3" spans="1:7" ht="15.75">
      <c r="A3" s="336"/>
      <c r="B3" s="336"/>
      <c r="C3" s="336"/>
      <c r="D3" s="336"/>
      <c r="E3" s="336"/>
      <c r="F3" s="336"/>
      <c r="G3" s="336"/>
    </row>
    <row r="4" spans="1:7" ht="63.75" customHeight="1">
      <c r="A4" s="337" t="s">
        <v>54</v>
      </c>
      <c r="B4" s="337"/>
      <c r="C4" s="337"/>
      <c r="D4" s="337"/>
      <c r="E4" s="337"/>
      <c r="F4" s="337"/>
      <c r="G4" s="337"/>
    </row>
    <row r="5" spans="1:7" ht="17.25" customHeight="1">
      <c r="A5" s="338" t="s">
        <v>2</v>
      </c>
      <c r="B5" s="338"/>
      <c r="C5" s="338"/>
      <c r="D5" s="338"/>
      <c r="E5" s="338"/>
      <c r="F5" s="338"/>
      <c r="G5" s="338"/>
    </row>
    <row r="6" spans="1:7" ht="19.5" thickBot="1">
      <c r="A6" s="334"/>
      <c r="B6" s="334"/>
      <c r="C6" s="334"/>
      <c r="D6" s="334"/>
      <c r="E6" s="334"/>
      <c r="F6" s="334"/>
      <c r="G6" s="334"/>
    </row>
    <row r="7" spans="1:7" ht="64.5" customHeight="1" thickBot="1">
      <c r="A7" s="2" t="s">
        <v>3</v>
      </c>
      <c r="B7" s="3" t="s">
        <v>4</v>
      </c>
      <c r="C7" s="4" t="s">
        <v>5</v>
      </c>
      <c r="D7" s="5" t="s">
        <v>6</v>
      </c>
      <c r="E7" s="5" t="s">
        <v>7</v>
      </c>
      <c r="F7" s="5" t="s">
        <v>52</v>
      </c>
      <c r="G7" s="3" t="s">
        <v>9</v>
      </c>
    </row>
    <row r="8" spans="1:7" ht="15.75">
      <c r="A8" s="6" t="s">
        <v>10</v>
      </c>
      <c r="B8" s="7" t="s">
        <v>11</v>
      </c>
      <c r="C8" s="8"/>
      <c r="D8" s="9"/>
      <c r="E8" s="9"/>
      <c r="F8" s="9"/>
      <c r="G8" s="21"/>
    </row>
    <row r="9" spans="1:7" ht="15.75">
      <c r="A9" s="10" t="s">
        <v>55</v>
      </c>
      <c r="B9" s="22" t="s">
        <v>12</v>
      </c>
      <c r="C9" s="13">
        <v>2015</v>
      </c>
      <c r="D9" s="12">
        <v>0.4</v>
      </c>
      <c r="E9" s="12">
        <v>1165</v>
      </c>
      <c r="F9" s="12">
        <v>63</v>
      </c>
      <c r="G9" s="25">
        <f>540350.09/1000</f>
        <v>540.35009</v>
      </c>
    </row>
    <row r="10" spans="1:7" ht="15.75">
      <c r="A10" s="10" t="s">
        <v>38</v>
      </c>
      <c r="B10" s="22" t="s">
        <v>13</v>
      </c>
      <c r="C10" s="13">
        <v>2015</v>
      </c>
      <c r="D10" s="12">
        <v>0.4</v>
      </c>
      <c r="E10" s="12">
        <v>2090</v>
      </c>
      <c r="F10" s="12">
        <v>81</v>
      </c>
      <c r="G10" s="25">
        <f>1289719.34/1000</f>
        <v>1289.71934</v>
      </c>
    </row>
    <row r="11" spans="1:7" ht="15.75">
      <c r="A11" s="10" t="s">
        <v>39</v>
      </c>
      <c r="B11" s="22" t="s">
        <v>14</v>
      </c>
      <c r="C11" s="13">
        <v>2015</v>
      </c>
      <c r="D11" s="12">
        <v>0.4</v>
      </c>
      <c r="E11" s="12">
        <v>2988</v>
      </c>
      <c r="F11" s="12">
        <v>127</v>
      </c>
      <c r="G11" s="25">
        <f>3690271.3520339/1000</f>
        <v>3690.2713520339003</v>
      </c>
    </row>
    <row r="12" spans="1:7" ht="15.75">
      <c r="A12" s="10" t="s">
        <v>56</v>
      </c>
      <c r="B12" s="11" t="s">
        <v>57</v>
      </c>
      <c r="C12" s="13">
        <v>2015</v>
      </c>
      <c r="D12" s="12">
        <v>0.4</v>
      </c>
      <c r="E12" s="12">
        <v>145</v>
      </c>
      <c r="F12" s="12">
        <v>81</v>
      </c>
      <c r="G12" s="25">
        <f>96170.91/1000</f>
        <v>96.17091</v>
      </c>
    </row>
    <row r="13" spans="1:7" ht="15.75">
      <c r="A13" s="10" t="s">
        <v>39</v>
      </c>
      <c r="B13" s="14" t="s">
        <v>14</v>
      </c>
      <c r="C13" s="15">
        <v>2015</v>
      </c>
      <c r="D13" s="16" t="s">
        <v>58</v>
      </c>
      <c r="E13" s="16">
        <v>56</v>
      </c>
      <c r="F13" s="16">
        <v>1260</v>
      </c>
      <c r="G13" s="27">
        <f>75648.21/1000</f>
        <v>75.64821</v>
      </c>
    </row>
    <row r="14" spans="1:7" ht="16.5" thickBot="1">
      <c r="A14" s="10" t="s">
        <v>59</v>
      </c>
      <c r="B14" s="14" t="s">
        <v>60</v>
      </c>
      <c r="C14" s="15">
        <v>2015</v>
      </c>
      <c r="D14" s="16" t="s">
        <v>58</v>
      </c>
      <c r="E14" s="16">
        <v>690</v>
      </c>
      <c r="F14" s="16">
        <v>2280</v>
      </c>
      <c r="G14" s="27">
        <f>815650.694915254/1000</f>
        <v>815.650694915254</v>
      </c>
    </row>
    <row r="15" spans="1:7" ht="15.75">
      <c r="A15" s="6" t="s">
        <v>15</v>
      </c>
      <c r="B15" s="7" t="s">
        <v>16</v>
      </c>
      <c r="C15" s="8"/>
      <c r="D15" s="9"/>
      <c r="E15" s="9"/>
      <c r="F15" s="9"/>
      <c r="G15" s="26"/>
    </row>
    <row r="16" spans="1:7" ht="15.75">
      <c r="A16" s="10" t="s">
        <v>61</v>
      </c>
      <c r="B16" s="14" t="s">
        <v>62</v>
      </c>
      <c r="C16" s="15">
        <v>2015</v>
      </c>
      <c r="D16" s="12">
        <v>0.4</v>
      </c>
      <c r="E16" s="16">
        <v>40</v>
      </c>
      <c r="F16" s="16">
        <v>81</v>
      </c>
      <c r="G16" s="27">
        <f>45332.38/1000</f>
        <v>45.33238</v>
      </c>
    </row>
    <row r="17" spans="1:7" ht="15.75">
      <c r="A17" s="10" t="s">
        <v>40</v>
      </c>
      <c r="B17" s="14" t="s">
        <v>17</v>
      </c>
      <c r="C17" s="15">
        <v>2015</v>
      </c>
      <c r="D17" s="12">
        <v>0.4</v>
      </c>
      <c r="E17" s="16">
        <v>362</v>
      </c>
      <c r="F17" s="16">
        <v>121</v>
      </c>
      <c r="G17" s="27">
        <f>417687.42/1000</f>
        <v>417.68742</v>
      </c>
    </row>
    <row r="18" spans="1:7" ht="15.75">
      <c r="A18" s="10" t="s">
        <v>42</v>
      </c>
      <c r="B18" s="14" t="s">
        <v>19</v>
      </c>
      <c r="C18" s="15">
        <v>2015</v>
      </c>
      <c r="D18" s="12">
        <v>0.4</v>
      </c>
      <c r="E18" s="16">
        <v>515</v>
      </c>
      <c r="F18" s="16">
        <v>163</v>
      </c>
      <c r="G18" s="27">
        <f>819119.82/1000</f>
        <v>819.11982</v>
      </c>
    </row>
    <row r="19" spans="1:7" ht="15.75">
      <c r="A19" s="10" t="s">
        <v>45</v>
      </c>
      <c r="B19" s="14" t="s">
        <v>21</v>
      </c>
      <c r="C19" s="15">
        <v>2015</v>
      </c>
      <c r="D19" s="16" t="s">
        <v>58</v>
      </c>
      <c r="E19" s="16">
        <v>2541</v>
      </c>
      <c r="F19" s="16">
        <v>1560</v>
      </c>
      <c r="G19" s="27">
        <f>4665704.61/1000</f>
        <v>4665.704610000001</v>
      </c>
    </row>
    <row r="20" spans="1:7" ht="15.75">
      <c r="A20" s="10" t="s">
        <v>46</v>
      </c>
      <c r="B20" s="14" t="s">
        <v>20</v>
      </c>
      <c r="C20" s="15">
        <v>2015</v>
      </c>
      <c r="D20" s="16" t="s">
        <v>58</v>
      </c>
      <c r="E20" s="16">
        <v>26</v>
      </c>
      <c r="F20" s="16">
        <v>2340</v>
      </c>
      <c r="G20" s="27">
        <f>52764.6/1000</f>
        <v>52.7646</v>
      </c>
    </row>
    <row r="21" spans="1:7" ht="16.5" thickBot="1">
      <c r="A21" s="10" t="s">
        <v>63</v>
      </c>
      <c r="B21" s="14" t="s">
        <v>21</v>
      </c>
      <c r="C21" s="15">
        <v>2015</v>
      </c>
      <c r="D21" s="16" t="s">
        <v>58</v>
      </c>
      <c r="E21" s="16">
        <v>563</v>
      </c>
      <c r="F21" s="16">
        <v>1560</v>
      </c>
      <c r="G21" s="27">
        <f>1105390.96/1000</f>
        <v>1105.39096</v>
      </c>
    </row>
    <row r="22" spans="1:7" ht="28.5" customHeight="1" thickBot="1">
      <c r="A22" s="6" t="s">
        <v>24</v>
      </c>
      <c r="B22" s="7" t="s">
        <v>25</v>
      </c>
      <c r="C22" s="8" t="s">
        <v>50</v>
      </c>
      <c r="D22" s="9" t="s">
        <v>50</v>
      </c>
      <c r="E22" s="9" t="s">
        <v>50</v>
      </c>
      <c r="F22" s="9" t="s">
        <v>50</v>
      </c>
      <c r="G22" s="26" t="s">
        <v>50</v>
      </c>
    </row>
    <row r="23" spans="1:7" ht="47.25">
      <c r="A23" s="17" t="s">
        <v>26</v>
      </c>
      <c r="B23" s="7" t="s">
        <v>27</v>
      </c>
      <c r="C23" s="18"/>
      <c r="D23" s="19"/>
      <c r="E23" s="19"/>
      <c r="F23" s="19"/>
      <c r="G23" s="28"/>
    </row>
    <row r="24" spans="1:7" ht="15.75">
      <c r="A24" s="10" t="s">
        <v>64</v>
      </c>
      <c r="B24" s="11" t="s">
        <v>65</v>
      </c>
      <c r="C24" s="13">
        <v>2015</v>
      </c>
      <c r="D24" s="12" t="s">
        <v>51</v>
      </c>
      <c r="E24" s="12"/>
      <c r="F24" s="12">
        <v>200</v>
      </c>
      <c r="G24" s="25">
        <f>302993.01/1000</f>
        <v>302.99301</v>
      </c>
    </row>
    <row r="25" spans="1:7" ht="15.75">
      <c r="A25" s="10" t="s">
        <v>66</v>
      </c>
      <c r="B25" s="11" t="s">
        <v>67</v>
      </c>
      <c r="C25" s="13">
        <v>2015</v>
      </c>
      <c r="D25" s="12" t="s">
        <v>51</v>
      </c>
      <c r="E25" s="12"/>
      <c r="F25" s="12">
        <v>60</v>
      </c>
      <c r="G25" s="25">
        <f>472723.88/1000</f>
        <v>472.72388</v>
      </c>
    </row>
    <row r="26" spans="1:7" ht="15.75">
      <c r="A26" s="10" t="s">
        <v>68</v>
      </c>
      <c r="B26" s="11" t="s">
        <v>69</v>
      </c>
      <c r="C26" s="13">
        <v>2015</v>
      </c>
      <c r="D26" s="12" t="s">
        <v>51</v>
      </c>
      <c r="E26" s="12"/>
      <c r="F26" s="12">
        <v>100</v>
      </c>
      <c r="G26" s="25">
        <f>564964.55/1000</f>
        <v>564.96455</v>
      </c>
    </row>
    <row r="27" spans="1:7" ht="16.5" thickBot="1">
      <c r="A27" s="10" t="s">
        <v>28</v>
      </c>
      <c r="B27" s="11" t="s">
        <v>29</v>
      </c>
      <c r="C27" s="13">
        <v>2015</v>
      </c>
      <c r="D27" s="12" t="s">
        <v>51</v>
      </c>
      <c r="E27" s="12"/>
      <c r="F27" s="12">
        <v>200</v>
      </c>
      <c r="G27" s="25">
        <f>1622644.14/1000</f>
        <v>1622.6441399999999</v>
      </c>
    </row>
    <row r="28" spans="1:7" ht="31.5">
      <c r="A28" s="17" t="s">
        <v>32</v>
      </c>
      <c r="B28" s="7" t="s">
        <v>33</v>
      </c>
      <c r="C28" s="18"/>
      <c r="D28" s="19"/>
      <c r="E28" s="19"/>
      <c r="F28" s="19"/>
      <c r="G28" s="28"/>
    </row>
    <row r="29" spans="1:7" ht="16.5" thickBot="1">
      <c r="A29" s="39" t="s">
        <v>70</v>
      </c>
      <c r="B29" s="40" t="s">
        <v>71</v>
      </c>
      <c r="C29" s="41">
        <v>2015</v>
      </c>
      <c r="D29" s="42" t="s">
        <v>44</v>
      </c>
      <c r="E29" s="42"/>
      <c r="F29" s="42"/>
      <c r="G29" s="43">
        <f>1608399.72/1000</f>
        <v>1608.39972</v>
      </c>
    </row>
    <row r="30" spans="1:7" s="23" customFormat="1" ht="32.25" thickBot="1">
      <c r="A30" s="34" t="s">
        <v>34</v>
      </c>
      <c r="B30" s="35" t="s">
        <v>35</v>
      </c>
      <c r="C30" s="36" t="s">
        <v>50</v>
      </c>
      <c r="D30" s="37" t="s">
        <v>50</v>
      </c>
      <c r="E30" s="37" t="s">
        <v>50</v>
      </c>
      <c r="F30" s="37" t="s">
        <v>50</v>
      </c>
      <c r="G30" s="44" t="s">
        <v>50</v>
      </c>
    </row>
    <row r="31" spans="1:2" s="23" customFormat="1" ht="15.75">
      <c r="A31" s="24"/>
      <c r="B31" s="23" t="s">
        <v>36</v>
      </c>
    </row>
    <row r="33" ht="15.75">
      <c r="A33" s="20"/>
    </row>
    <row r="34" ht="15.75">
      <c r="A34" s="20"/>
    </row>
  </sheetData>
  <sheetProtection/>
  <mergeCells count="6">
    <mergeCell ref="A5:G5"/>
    <mergeCell ref="A6:G6"/>
    <mergeCell ref="A1:G1"/>
    <mergeCell ref="A2:G2"/>
    <mergeCell ref="A3:G3"/>
    <mergeCell ref="A4:G4"/>
  </mergeCells>
  <printOptions/>
  <pageMargins left="0.7480314960629921" right="0.7480314960629921" top="0.37" bottom="0.54" header="0.22" footer="0.4"/>
  <pageSetup horizontalDpi="600" verticalDpi="600" orientation="landscape" paperSize="9" scale="8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4">
      <selection activeCell="A4" sqref="A1:IV16384"/>
    </sheetView>
  </sheetViews>
  <sheetFormatPr defaultColWidth="9.140625" defaultRowHeight="15"/>
  <cols>
    <col min="2" max="2" width="24.421875" style="0" customWidth="1"/>
    <col min="3" max="3" width="17.7109375" style="0" customWidth="1"/>
    <col min="4" max="4" width="13.57421875" style="0" customWidth="1"/>
    <col min="5" max="5" width="14.8515625" style="0" customWidth="1"/>
  </cols>
  <sheetData>
    <row r="1" spans="1:5" s="47" customFormat="1" ht="12.75">
      <c r="A1" s="46"/>
      <c r="E1" s="47" t="s">
        <v>146</v>
      </c>
    </row>
    <row r="2" spans="1:7" s="47" customFormat="1" ht="30" customHeight="1">
      <c r="A2" s="370" t="s">
        <v>1</v>
      </c>
      <c r="B2" s="370"/>
      <c r="C2" s="370"/>
      <c r="D2" s="370"/>
      <c r="E2" s="370"/>
      <c r="F2" s="20"/>
      <c r="G2" s="20"/>
    </row>
    <row r="3" s="47" customFormat="1" ht="12.75">
      <c r="A3" s="46"/>
    </row>
    <row r="4" spans="1:4" s="47" customFormat="1" ht="15.75">
      <c r="A4" s="46"/>
      <c r="B4" s="71"/>
      <c r="C4" s="81" t="s">
        <v>147</v>
      </c>
      <c r="D4" s="71"/>
    </row>
    <row r="5" spans="1:4" s="47" customFormat="1" ht="15.75">
      <c r="A5" s="46"/>
      <c r="B5" s="71"/>
      <c r="C5" s="81" t="s">
        <v>148</v>
      </c>
      <c r="D5" s="71"/>
    </row>
    <row r="6" spans="1:4" s="47" customFormat="1" ht="15.75">
      <c r="A6" s="46"/>
      <c r="B6" s="71"/>
      <c r="C6" s="81" t="s">
        <v>149</v>
      </c>
      <c r="D6" s="71"/>
    </row>
    <row r="7" spans="1:4" s="47" customFormat="1" ht="15.75">
      <c r="A7" s="46"/>
      <c r="B7" s="71"/>
      <c r="C7" s="81" t="s">
        <v>150</v>
      </c>
      <c r="D7" s="71"/>
    </row>
    <row r="8" spans="1:4" s="47" customFormat="1" ht="15.75">
      <c r="A8" s="46"/>
      <c r="B8" s="71"/>
      <c r="C8" s="81" t="s">
        <v>151</v>
      </c>
      <c r="D8" s="71"/>
    </row>
    <row r="9" spans="1:3" s="47" customFormat="1" ht="12.75">
      <c r="A9" s="46"/>
      <c r="C9" s="48" t="s">
        <v>95</v>
      </c>
    </row>
    <row r="10" spans="1:3" s="47" customFormat="1" ht="12.75">
      <c r="A10" s="46"/>
      <c r="C10" s="48" t="s">
        <v>96</v>
      </c>
    </row>
    <row r="11" spans="1:5" s="47" customFormat="1" ht="13.5" thickBot="1">
      <c r="A11" s="46"/>
      <c r="E11" s="48" t="s">
        <v>97</v>
      </c>
    </row>
    <row r="12" spans="1:5" s="49" customFormat="1" ht="64.5" thickBot="1">
      <c r="A12" s="78" t="s">
        <v>98</v>
      </c>
      <c r="B12" s="79" t="s">
        <v>99</v>
      </c>
      <c r="C12" s="76" t="s">
        <v>154</v>
      </c>
      <c r="D12" s="76" t="s">
        <v>153</v>
      </c>
      <c r="E12" s="77" t="s">
        <v>155</v>
      </c>
    </row>
    <row r="13" spans="1:5" s="47" customFormat="1" ht="12.75">
      <c r="A13" s="75">
        <v>1</v>
      </c>
      <c r="B13" s="75">
        <v>2</v>
      </c>
      <c r="C13" s="75">
        <v>3</v>
      </c>
      <c r="D13" s="75">
        <v>4</v>
      </c>
      <c r="E13" s="75">
        <v>5</v>
      </c>
    </row>
    <row r="14" spans="1:5" s="47" customFormat="1" ht="15">
      <c r="A14" s="458" t="s">
        <v>152</v>
      </c>
      <c r="B14" s="459"/>
      <c r="C14" s="459"/>
      <c r="D14" s="459"/>
      <c r="E14" s="459"/>
    </row>
    <row r="15" spans="1:5" s="47" customFormat="1" ht="15">
      <c r="A15" s="74"/>
      <c r="B15" s="51" t="s">
        <v>145</v>
      </c>
      <c r="C15" s="80">
        <v>5581.87</v>
      </c>
      <c r="D15" s="80">
        <v>7223.08</v>
      </c>
      <c r="E15" s="80">
        <v>12130.29</v>
      </c>
    </row>
    <row r="16" spans="1:5" ht="15">
      <c r="A16" s="458" t="s">
        <v>156</v>
      </c>
      <c r="B16" s="459"/>
      <c r="C16" s="459"/>
      <c r="D16" s="459"/>
      <c r="E16" s="459"/>
    </row>
    <row r="17" spans="1:5" ht="15">
      <c r="A17" s="80"/>
      <c r="B17" s="80" t="s">
        <v>145</v>
      </c>
      <c r="C17" s="80">
        <v>3721.24</v>
      </c>
      <c r="D17" s="80">
        <v>3611.54</v>
      </c>
      <c r="E17" s="80">
        <v>6065.15</v>
      </c>
    </row>
  </sheetData>
  <sheetProtection/>
  <mergeCells count="3">
    <mergeCell ref="A2:E2"/>
    <mergeCell ref="A14:E14"/>
    <mergeCell ref="A16:E1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32"/>
  <sheetViews>
    <sheetView zoomScale="80" zoomScaleNormal="80" zoomScalePageLayoutView="0" workbookViewId="0" topLeftCell="A4">
      <selection activeCell="C33" sqref="C33"/>
    </sheetView>
  </sheetViews>
  <sheetFormatPr defaultColWidth="9.140625" defaultRowHeight="15"/>
  <cols>
    <col min="1" max="1" width="12.7109375" style="1" customWidth="1"/>
    <col min="2" max="2" width="74.28125" style="1" customWidth="1"/>
    <col min="3" max="3" width="10.57421875" style="1" customWidth="1"/>
    <col min="4" max="4" width="14.140625" style="1" customWidth="1"/>
    <col min="5" max="5" width="21.57421875" style="1" customWidth="1"/>
    <col min="6" max="6" width="15.8515625" style="1" customWidth="1"/>
    <col min="7" max="7" width="20.00390625" style="1" customWidth="1"/>
    <col min="8" max="16384" width="9.140625" style="1" customWidth="1"/>
  </cols>
  <sheetData>
    <row r="1" spans="1:7" ht="15.75">
      <c r="A1" s="335" t="s">
        <v>53</v>
      </c>
      <c r="B1" s="335"/>
      <c r="C1" s="335"/>
      <c r="D1" s="335"/>
      <c r="E1" s="335"/>
      <c r="F1" s="335"/>
      <c r="G1" s="335"/>
    </row>
    <row r="2" spans="1:7" ht="15.75">
      <c r="A2" s="335" t="s">
        <v>1</v>
      </c>
      <c r="B2" s="335"/>
      <c r="C2" s="335"/>
      <c r="D2" s="335"/>
      <c r="E2" s="335"/>
      <c r="F2" s="335"/>
      <c r="G2" s="335"/>
    </row>
    <row r="3" spans="1:7" ht="15.75">
      <c r="A3" s="336"/>
      <c r="B3" s="336"/>
      <c r="C3" s="336"/>
      <c r="D3" s="336"/>
      <c r="E3" s="336"/>
      <c r="F3" s="336"/>
      <c r="G3" s="336"/>
    </row>
    <row r="4" spans="1:7" ht="60.75" customHeight="1">
      <c r="A4" s="337" t="s">
        <v>54</v>
      </c>
      <c r="B4" s="337"/>
      <c r="C4" s="337"/>
      <c r="D4" s="337"/>
      <c r="E4" s="337"/>
      <c r="F4" s="337"/>
      <c r="G4" s="337"/>
    </row>
    <row r="5" spans="1:7" ht="13.5" customHeight="1">
      <c r="A5" s="338" t="s">
        <v>2</v>
      </c>
      <c r="B5" s="338"/>
      <c r="C5" s="338"/>
      <c r="D5" s="338"/>
      <c r="E5" s="338"/>
      <c r="F5" s="338"/>
      <c r="G5" s="338"/>
    </row>
    <row r="6" spans="1:7" ht="19.5" thickBot="1">
      <c r="A6" s="334"/>
      <c r="B6" s="334"/>
      <c r="C6" s="334"/>
      <c r="D6" s="334"/>
      <c r="E6" s="334"/>
      <c r="F6" s="334"/>
      <c r="G6" s="334"/>
    </row>
    <row r="7" spans="1:6" ht="64.5" customHeight="1" thickBot="1">
      <c r="A7" s="2" t="s">
        <v>3</v>
      </c>
      <c r="B7" s="3" t="s">
        <v>4</v>
      </c>
      <c r="C7" s="4" t="s">
        <v>5</v>
      </c>
      <c r="D7" s="5" t="s">
        <v>6</v>
      </c>
      <c r="E7" s="5" t="s">
        <v>7</v>
      </c>
      <c r="F7" s="5" t="s">
        <v>8</v>
      </c>
    </row>
    <row r="8" spans="1:6" ht="15.75">
      <c r="A8" s="6" t="s">
        <v>10</v>
      </c>
      <c r="B8" s="7" t="s">
        <v>11</v>
      </c>
      <c r="C8" s="8"/>
      <c r="D8" s="9"/>
      <c r="E8" s="9"/>
      <c r="F8" s="9"/>
    </row>
    <row r="9" spans="1:6" ht="15.75">
      <c r="A9" s="10" t="s">
        <v>37</v>
      </c>
      <c r="B9" s="22" t="s">
        <v>12</v>
      </c>
      <c r="C9" s="13">
        <v>2014</v>
      </c>
      <c r="D9" s="12">
        <v>0.4</v>
      </c>
      <c r="E9" s="12">
        <v>575</v>
      </c>
      <c r="F9" s="12">
        <v>105</v>
      </c>
    </row>
    <row r="10" spans="1:6" ht="15.75">
      <c r="A10" s="10" t="s">
        <v>38</v>
      </c>
      <c r="B10" s="22" t="s">
        <v>13</v>
      </c>
      <c r="C10" s="13">
        <v>2014</v>
      </c>
      <c r="D10" s="12">
        <v>0.4</v>
      </c>
      <c r="E10" s="12">
        <v>220</v>
      </c>
      <c r="F10" s="12">
        <v>30</v>
      </c>
    </row>
    <row r="11" spans="1:6" ht="15.75">
      <c r="A11" s="10" t="s">
        <v>39</v>
      </c>
      <c r="B11" s="22" t="s">
        <v>14</v>
      </c>
      <c r="C11" s="13">
        <v>2014</v>
      </c>
      <c r="D11" s="12">
        <v>0.4</v>
      </c>
      <c r="E11" s="12">
        <v>1030</v>
      </c>
      <c r="F11" s="12">
        <v>105</v>
      </c>
    </row>
    <row r="12" spans="1:6" ht="16.5" thickBot="1">
      <c r="A12" s="10" t="s">
        <v>38</v>
      </c>
      <c r="B12" s="22" t="s">
        <v>13</v>
      </c>
      <c r="C12" s="13">
        <v>2014</v>
      </c>
      <c r="D12" s="12" t="s">
        <v>44</v>
      </c>
      <c r="E12" s="12">
        <v>230</v>
      </c>
      <c r="F12" s="12">
        <v>60</v>
      </c>
    </row>
    <row r="13" spans="1:6" ht="15.75">
      <c r="A13" s="6" t="s">
        <v>15</v>
      </c>
      <c r="B13" s="7" t="s">
        <v>16</v>
      </c>
      <c r="C13" s="8"/>
      <c r="D13" s="9"/>
      <c r="E13" s="9"/>
      <c r="F13" s="9"/>
    </row>
    <row r="14" spans="1:6" ht="15.75">
      <c r="A14" s="10" t="s">
        <v>40</v>
      </c>
      <c r="B14" s="14" t="s">
        <v>17</v>
      </c>
      <c r="C14" s="15">
        <v>2014</v>
      </c>
      <c r="D14" s="12">
        <v>0.4</v>
      </c>
      <c r="E14" s="16">
        <f>130+80</f>
        <v>210</v>
      </c>
      <c r="F14" s="16">
        <v>54.7</v>
      </c>
    </row>
    <row r="15" spans="1:6" ht="15.75">
      <c r="A15" s="10" t="s">
        <v>41</v>
      </c>
      <c r="B15" s="14" t="s">
        <v>18</v>
      </c>
      <c r="C15" s="15">
        <v>2014</v>
      </c>
      <c r="D15" s="12">
        <v>0.4</v>
      </c>
      <c r="E15" s="16">
        <v>443</v>
      </c>
      <c r="F15" s="16">
        <v>352</v>
      </c>
    </row>
    <row r="16" spans="1:6" ht="15.75">
      <c r="A16" s="10" t="s">
        <v>42</v>
      </c>
      <c r="B16" s="14" t="s">
        <v>19</v>
      </c>
      <c r="C16" s="15">
        <v>2014</v>
      </c>
      <c r="D16" s="12">
        <v>0.4</v>
      </c>
      <c r="E16" s="16">
        <v>2335</v>
      </c>
      <c r="F16" s="16">
        <v>1218</v>
      </c>
    </row>
    <row r="17" spans="1:6" ht="15.75">
      <c r="A17" s="10" t="s">
        <v>43</v>
      </c>
      <c r="B17" s="14" t="s">
        <v>20</v>
      </c>
      <c r="C17" s="15">
        <v>2014</v>
      </c>
      <c r="D17" s="12">
        <v>0.4</v>
      </c>
      <c r="E17" s="16">
        <v>728</v>
      </c>
      <c r="F17" s="16">
        <v>482.5</v>
      </c>
    </row>
    <row r="18" spans="1:6" ht="15.75">
      <c r="A18" s="10" t="s">
        <v>45</v>
      </c>
      <c r="B18" s="14" t="s">
        <v>21</v>
      </c>
      <c r="C18" s="15">
        <v>2014</v>
      </c>
      <c r="D18" s="16" t="s">
        <v>44</v>
      </c>
      <c r="E18" s="16">
        <v>32</v>
      </c>
      <c r="F18" s="16">
        <v>60</v>
      </c>
    </row>
    <row r="19" spans="1:6" ht="15.75">
      <c r="A19" s="10" t="s">
        <v>46</v>
      </c>
      <c r="B19" s="14" t="s">
        <v>22</v>
      </c>
      <c r="C19" s="15">
        <v>2014</v>
      </c>
      <c r="D19" s="16" t="s">
        <v>44</v>
      </c>
      <c r="E19" s="16">
        <v>500</v>
      </c>
      <c r="F19" s="16">
        <v>493</v>
      </c>
    </row>
    <row r="20" spans="1:6" ht="15.75">
      <c r="A20" s="10" t="s">
        <v>47</v>
      </c>
      <c r="B20" s="14" t="s">
        <v>23</v>
      </c>
      <c r="C20" s="15">
        <v>2014</v>
      </c>
      <c r="D20" s="12">
        <v>0.4</v>
      </c>
      <c r="E20" s="16">
        <v>72</v>
      </c>
      <c r="F20" s="16">
        <v>140</v>
      </c>
    </row>
    <row r="21" spans="1:6" ht="15.75">
      <c r="A21" s="10" t="s">
        <v>48</v>
      </c>
      <c r="B21" s="14" t="s">
        <v>19</v>
      </c>
      <c r="C21" s="15">
        <v>2014</v>
      </c>
      <c r="D21" s="12">
        <v>0.4</v>
      </c>
      <c r="E21" s="16">
        <v>160</v>
      </c>
      <c r="F21" s="16">
        <v>85</v>
      </c>
    </row>
    <row r="22" spans="1:6" ht="16.5" thickBot="1">
      <c r="A22" s="10" t="s">
        <v>49</v>
      </c>
      <c r="B22" s="14" t="s">
        <v>20</v>
      </c>
      <c r="C22" s="15">
        <v>2014</v>
      </c>
      <c r="D22" s="12">
        <v>0.4</v>
      </c>
      <c r="E22" s="16">
        <v>344</v>
      </c>
      <c r="F22" s="16">
        <v>200</v>
      </c>
    </row>
    <row r="23" spans="1:6" ht="16.5" thickBot="1">
      <c r="A23" s="6" t="s">
        <v>24</v>
      </c>
      <c r="B23" s="7" t="s">
        <v>25</v>
      </c>
      <c r="C23" s="8" t="s">
        <v>50</v>
      </c>
      <c r="D23" s="9" t="s">
        <v>50</v>
      </c>
      <c r="E23" s="9" t="s">
        <v>50</v>
      </c>
      <c r="F23" s="9" t="s">
        <v>50</v>
      </c>
    </row>
    <row r="24" spans="1:6" ht="53.25" customHeight="1">
      <c r="A24" s="17" t="s">
        <v>26</v>
      </c>
      <c r="B24" s="7" t="s">
        <v>27</v>
      </c>
      <c r="C24" s="18"/>
      <c r="D24" s="19"/>
      <c r="E24" s="19"/>
      <c r="F24" s="19"/>
    </row>
    <row r="25" spans="1:6" ht="15.75">
      <c r="A25" s="10" t="s">
        <v>28</v>
      </c>
      <c r="B25" s="11" t="s">
        <v>29</v>
      </c>
      <c r="C25" s="13">
        <v>2014</v>
      </c>
      <c r="D25" s="12" t="s">
        <v>51</v>
      </c>
      <c r="E25" s="12"/>
      <c r="F25" s="12">
        <v>200</v>
      </c>
    </row>
    <row r="26" spans="1:6" ht="16.5" thickBot="1">
      <c r="A26" s="10" t="s">
        <v>31</v>
      </c>
      <c r="B26" s="11" t="s">
        <v>30</v>
      </c>
      <c r="C26" s="13">
        <v>2014</v>
      </c>
      <c r="D26" s="12" t="s">
        <v>51</v>
      </c>
      <c r="E26" s="12"/>
      <c r="F26" s="12">
        <v>330</v>
      </c>
    </row>
    <row r="27" spans="1:6" ht="32.25" thickBot="1">
      <c r="A27" s="29" t="s">
        <v>32</v>
      </c>
      <c r="B27" s="30" t="s">
        <v>33</v>
      </c>
      <c r="C27" s="31" t="s">
        <v>50</v>
      </c>
      <c r="D27" s="32" t="s">
        <v>50</v>
      </c>
      <c r="E27" s="32" t="s">
        <v>50</v>
      </c>
      <c r="F27" s="32" t="s">
        <v>50</v>
      </c>
    </row>
    <row r="28" spans="1:6" s="23" customFormat="1" ht="32.25" thickBot="1">
      <c r="A28" s="34" t="s">
        <v>34</v>
      </c>
      <c r="B28" s="35" t="s">
        <v>35</v>
      </c>
      <c r="C28" s="36" t="s">
        <v>50</v>
      </c>
      <c r="D28" s="37" t="s">
        <v>50</v>
      </c>
      <c r="E28" s="37" t="s">
        <v>50</v>
      </c>
      <c r="F28" s="37" t="s">
        <v>50</v>
      </c>
    </row>
    <row r="29" spans="1:2" s="23" customFormat="1" ht="15.75">
      <c r="A29" s="24"/>
      <c r="B29" s="23" t="s">
        <v>36</v>
      </c>
    </row>
    <row r="31" ht="15.75">
      <c r="A31" s="20"/>
    </row>
    <row r="32" ht="15.75">
      <c r="A32" s="20"/>
    </row>
  </sheetData>
  <sheetProtection/>
  <mergeCells count="6">
    <mergeCell ref="A6:G6"/>
    <mergeCell ref="A1:G1"/>
    <mergeCell ref="A2:G2"/>
    <mergeCell ref="A3:G3"/>
    <mergeCell ref="A4:G4"/>
    <mergeCell ref="A5:G5"/>
  </mergeCells>
  <printOptions/>
  <pageMargins left="0.64" right="0.1968503937007874" top="0.1968503937007874" bottom="0.1968503937007874" header="0" footer="0"/>
  <pageSetup horizontalDpi="600" verticalDpi="600" orientation="landscape" paperSize="9" scale="8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34"/>
  <sheetViews>
    <sheetView zoomScale="80" zoomScaleNormal="80" zoomScalePageLayoutView="0" workbookViewId="0" topLeftCell="A4">
      <selection activeCell="J22" sqref="J22"/>
    </sheetView>
  </sheetViews>
  <sheetFormatPr defaultColWidth="9.140625" defaultRowHeight="15"/>
  <cols>
    <col min="1" max="1" width="12.7109375" style="1" customWidth="1"/>
    <col min="2" max="2" width="66.8515625" style="1" customWidth="1"/>
    <col min="3" max="3" width="10.00390625" style="1" customWidth="1"/>
    <col min="4" max="4" width="14.57421875" style="1" customWidth="1"/>
    <col min="5" max="5" width="20.7109375" style="1" customWidth="1"/>
    <col min="6" max="6" width="15.8515625" style="1" customWidth="1"/>
    <col min="7" max="7" width="21.8515625" style="1" customWidth="1"/>
    <col min="8" max="16384" width="9.140625" style="1" customWidth="1"/>
  </cols>
  <sheetData>
    <row r="1" spans="1:7" ht="15.75">
      <c r="A1" s="335" t="s">
        <v>53</v>
      </c>
      <c r="B1" s="335"/>
      <c r="C1" s="335"/>
      <c r="D1" s="335"/>
      <c r="E1" s="335"/>
      <c r="F1" s="335"/>
      <c r="G1" s="335"/>
    </row>
    <row r="2" spans="1:7" ht="15.75">
      <c r="A2" s="335" t="s">
        <v>1</v>
      </c>
      <c r="B2" s="335"/>
      <c r="C2" s="335"/>
      <c r="D2" s="335"/>
      <c r="E2" s="335"/>
      <c r="F2" s="335"/>
      <c r="G2" s="335"/>
    </row>
    <row r="3" spans="1:7" ht="15.75">
      <c r="A3" s="336"/>
      <c r="B3" s="336"/>
      <c r="C3" s="336"/>
      <c r="D3" s="336"/>
      <c r="E3" s="336"/>
      <c r="F3" s="336"/>
      <c r="G3" s="336"/>
    </row>
    <row r="4" spans="1:7" ht="63.75" customHeight="1">
      <c r="A4" s="337" t="s">
        <v>54</v>
      </c>
      <c r="B4" s="337"/>
      <c r="C4" s="337"/>
      <c r="D4" s="337"/>
      <c r="E4" s="337"/>
      <c r="F4" s="337"/>
      <c r="G4" s="337"/>
    </row>
    <row r="5" spans="1:7" ht="13.5" customHeight="1">
      <c r="A5" s="338" t="s">
        <v>2</v>
      </c>
      <c r="B5" s="338"/>
      <c r="C5" s="338"/>
      <c r="D5" s="338"/>
      <c r="E5" s="338"/>
      <c r="F5" s="338"/>
      <c r="G5" s="338"/>
    </row>
    <row r="6" spans="1:7" ht="19.5" thickBot="1">
      <c r="A6" s="334"/>
      <c r="B6" s="334"/>
      <c r="C6" s="334"/>
      <c r="D6" s="334"/>
      <c r="E6" s="334"/>
      <c r="F6" s="334"/>
      <c r="G6" s="334"/>
    </row>
    <row r="7" spans="1:6" ht="64.5" customHeight="1" thickBot="1">
      <c r="A7" s="2" t="s">
        <v>3</v>
      </c>
      <c r="B7" s="3" t="s">
        <v>4</v>
      </c>
      <c r="C7" s="4" t="s">
        <v>5</v>
      </c>
      <c r="D7" s="5" t="s">
        <v>6</v>
      </c>
      <c r="E7" s="5" t="s">
        <v>7</v>
      </c>
      <c r="F7" s="5" t="s">
        <v>8</v>
      </c>
    </row>
    <row r="8" spans="1:6" ht="15.75">
      <c r="A8" s="6" t="s">
        <v>10</v>
      </c>
      <c r="B8" s="7" t="s">
        <v>11</v>
      </c>
      <c r="C8" s="8"/>
      <c r="D8" s="9"/>
      <c r="E8" s="9"/>
      <c r="F8" s="9"/>
    </row>
    <row r="9" spans="1:6" ht="15.75">
      <c r="A9" s="10" t="s">
        <v>55</v>
      </c>
      <c r="B9" s="22" t="s">
        <v>12</v>
      </c>
      <c r="C9" s="13">
        <v>2015</v>
      </c>
      <c r="D9" s="12">
        <v>0.4</v>
      </c>
      <c r="E9" s="12">
        <v>1165</v>
      </c>
      <c r="F9" s="12">
        <v>160</v>
      </c>
    </row>
    <row r="10" spans="1:6" ht="15.75">
      <c r="A10" s="10" t="s">
        <v>38</v>
      </c>
      <c r="B10" s="22" t="s">
        <v>13</v>
      </c>
      <c r="C10" s="13">
        <v>2015</v>
      </c>
      <c r="D10" s="12">
        <v>0.4</v>
      </c>
      <c r="E10" s="12">
        <v>2090</v>
      </c>
      <c r="F10" s="12">
        <v>165</v>
      </c>
    </row>
    <row r="11" spans="1:6" ht="15.75">
      <c r="A11" s="10" t="s">
        <v>39</v>
      </c>
      <c r="B11" s="22" t="s">
        <v>14</v>
      </c>
      <c r="C11" s="13">
        <v>2015</v>
      </c>
      <c r="D11" s="12">
        <v>0.4</v>
      </c>
      <c r="E11" s="12">
        <v>2988</v>
      </c>
      <c r="F11" s="12">
        <v>165</v>
      </c>
    </row>
    <row r="12" spans="1:6" ht="15.75">
      <c r="A12" s="10" t="s">
        <v>56</v>
      </c>
      <c r="B12" s="11" t="s">
        <v>57</v>
      </c>
      <c r="C12" s="13">
        <v>2015</v>
      </c>
      <c r="D12" s="12">
        <v>0.4</v>
      </c>
      <c r="E12" s="12">
        <v>145</v>
      </c>
      <c r="F12" s="12">
        <v>15</v>
      </c>
    </row>
    <row r="13" spans="1:6" ht="15.75">
      <c r="A13" s="10" t="s">
        <v>39</v>
      </c>
      <c r="B13" s="14" t="s">
        <v>14</v>
      </c>
      <c r="C13" s="15">
        <v>2015</v>
      </c>
      <c r="D13" s="16" t="s">
        <v>58</v>
      </c>
      <c r="E13" s="16">
        <v>56</v>
      </c>
      <c r="F13" s="16">
        <v>15</v>
      </c>
    </row>
    <row r="14" spans="1:6" ht="16.5" thickBot="1">
      <c r="A14" s="10" t="s">
        <v>59</v>
      </c>
      <c r="B14" s="14" t="s">
        <v>60</v>
      </c>
      <c r="C14" s="15">
        <v>2015</v>
      </c>
      <c r="D14" s="16" t="s">
        <v>58</v>
      </c>
      <c r="E14" s="16">
        <v>690</v>
      </c>
      <c r="F14" s="16">
        <v>30</v>
      </c>
    </row>
    <row r="15" spans="1:6" ht="15.75">
      <c r="A15" s="6" t="s">
        <v>15</v>
      </c>
      <c r="B15" s="7" t="s">
        <v>16</v>
      </c>
      <c r="C15" s="8"/>
      <c r="D15" s="9"/>
      <c r="E15" s="9"/>
      <c r="F15" s="9"/>
    </row>
    <row r="16" spans="1:6" ht="15.75">
      <c r="A16" s="10" t="s">
        <v>61</v>
      </c>
      <c r="B16" s="14" t="s">
        <v>62</v>
      </c>
      <c r="C16" s="15">
        <v>2015</v>
      </c>
      <c r="D16" s="12">
        <v>0.4</v>
      </c>
      <c r="E16" s="16">
        <v>40</v>
      </c>
      <c r="F16" s="16">
        <v>34</v>
      </c>
    </row>
    <row r="17" spans="1:6" ht="15.75">
      <c r="A17" s="10" t="s">
        <v>40</v>
      </c>
      <c r="B17" s="14" t="s">
        <v>17</v>
      </c>
      <c r="C17" s="15">
        <v>2015</v>
      </c>
      <c r="D17" s="12">
        <v>0.4</v>
      </c>
      <c r="E17" s="16">
        <v>362</v>
      </c>
      <c r="F17" s="16">
        <v>175</v>
      </c>
    </row>
    <row r="18" spans="1:6" ht="15.75">
      <c r="A18" s="10" t="s">
        <v>42</v>
      </c>
      <c r="B18" s="14" t="s">
        <v>19</v>
      </c>
      <c r="C18" s="15">
        <v>2015</v>
      </c>
      <c r="D18" s="12">
        <v>0.4</v>
      </c>
      <c r="E18" s="16">
        <v>515</v>
      </c>
      <c r="F18" s="16">
        <v>557.4</v>
      </c>
    </row>
    <row r="19" spans="1:6" ht="15.75">
      <c r="A19" s="10" t="s">
        <v>45</v>
      </c>
      <c r="B19" s="14" t="s">
        <v>21</v>
      </c>
      <c r="C19" s="15">
        <v>2015</v>
      </c>
      <c r="D19" s="16" t="s">
        <v>58</v>
      </c>
      <c r="E19" s="16">
        <v>2541</v>
      </c>
      <c r="F19" s="16">
        <v>2924</v>
      </c>
    </row>
    <row r="20" spans="1:6" ht="15.75">
      <c r="A20" s="10" t="s">
        <v>46</v>
      </c>
      <c r="B20" s="14" t="s">
        <v>20</v>
      </c>
      <c r="C20" s="15">
        <v>2015</v>
      </c>
      <c r="D20" s="16" t="s">
        <v>58</v>
      </c>
      <c r="E20" s="16">
        <v>26</v>
      </c>
      <c r="F20" s="16">
        <v>100</v>
      </c>
    </row>
    <row r="21" spans="1:6" ht="16.5" thickBot="1">
      <c r="A21" s="10" t="s">
        <v>63</v>
      </c>
      <c r="B21" s="14" t="s">
        <v>21</v>
      </c>
      <c r="C21" s="15">
        <v>2015</v>
      </c>
      <c r="D21" s="16" t="s">
        <v>58</v>
      </c>
      <c r="E21" s="16">
        <v>563</v>
      </c>
      <c r="F21" s="16">
        <v>1550</v>
      </c>
    </row>
    <row r="22" spans="1:6" ht="28.5" customHeight="1" thickBot="1">
      <c r="A22" s="6" t="s">
        <v>24</v>
      </c>
      <c r="B22" s="7" t="s">
        <v>25</v>
      </c>
      <c r="C22" s="8" t="s">
        <v>50</v>
      </c>
      <c r="D22" s="9" t="s">
        <v>50</v>
      </c>
      <c r="E22" s="9" t="s">
        <v>50</v>
      </c>
      <c r="F22" s="9"/>
    </row>
    <row r="23" spans="1:6" ht="47.25">
      <c r="A23" s="17" t="s">
        <v>26</v>
      </c>
      <c r="B23" s="7" t="s">
        <v>27</v>
      </c>
      <c r="C23" s="18"/>
      <c r="D23" s="19"/>
      <c r="E23" s="19"/>
      <c r="F23" s="19"/>
    </row>
    <row r="24" spans="1:6" ht="15.75">
      <c r="A24" s="10" t="s">
        <v>64</v>
      </c>
      <c r="B24" s="11" t="s">
        <v>65</v>
      </c>
      <c r="C24" s="13">
        <v>2015</v>
      </c>
      <c r="D24" s="12" t="s">
        <v>51</v>
      </c>
      <c r="E24" s="12"/>
      <c r="F24" s="12">
        <v>200</v>
      </c>
    </row>
    <row r="25" spans="1:6" ht="15.75">
      <c r="A25" s="10" t="s">
        <v>66</v>
      </c>
      <c r="B25" s="11" t="s">
        <v>67</v>
      </c>
      <c r="C25" s="13">
        <v>2015</v>
      </c>
      <c r="D25" s="12" t="s">
        <v>51</v>
      </c>
      <c r="E25" s="12"/>
      <c r="F25" s="12">
        <v>60</v>
      </c>
    </row>
    <row r="26" spans="1:6" ht="15.75">
      <c r="A26" s="10" t="s">
        <v>68</v>
      </c>
      <c r="B26" s="11" t="s">
        <v>69</v>
      </c>
      <c r="C26" s="13">
        <v>2015</v>
      </c>
      <c r="D26" s="12" t="s">
        <v>51</v>
      </c>
      <c r="E26" s="12"/>
      <c r="F26" s="12">
        <v>100</v>
      </c>
    </row>
    <row r="27" spans="1:6" ht="16.5" thickBot="1">
      <c r="A27" s="10" t="s">
        <v>28</v>
      </c>
      <c r="B27" s="11" t="s">
        <v>29</v>
      </c>
      <c r="C27" s="13">
        <v>2015</v>
      </c>
      <c r="D27" s="12" t="s">
        <v>51</v>
      </c>
      <c r="E27" s="12"/>
      <c r="F27" s="12">
        <v>200</v>
      </c>
    </row>
    <row r="28" spans="1:6" ht="31.5">
      <c r="A28" s="17" t="s">
        <v>32</v>
      </c>
      <c r="B28" s="7" t="s">
        <v>33</v>
      </c>
      <c r="C28" s="18"/>
      <c r="D28" s="19"/>
      <c r="E28" s="19"/>
      <c r="F28" s="19"/>
    </row>
    <row r="29" spans="1:6" ht="16.5" thickBot="1">
      <c r="A29" s="39" t="s">
        <v>70</v>
      </c>
      <c r="B29" s="40" t="s">
        <v>71</v>
      </c>
      <c r="C29" s="41">
        <v>2015</v>
      </c>
      <c r="D29" s="42" t="s">
        <v>44</v>
      </c>
      <c r="E29" s="42"/>
      <c r="F29" s="42">
        <v>1200</v>
      </c>
    </row>
    <row r="30" spans="1:6" s="23" customFormat="1" ht="32.25" thickBot="1">
      <c r="A30" s="34" t="s">
        <v>34</v>
      </c>
      <c r="B30" s="35" t="s">
        <v>35</v>
      </c>
      <c r="C30" s="36" t="s">
        <v>50</v>
      </c>
      <c r="D30" s="37" t="s">
        <v>50</v>
      </c>
      <c r="E30" s="37" t="s">
        <v>50</v>
      </c>
      <c r="F30" s="37" t="s">
        <v>50</v>
      </c>
    </row>
    <row r="31" spans="1:2" s="23" customFormat="1" ht="15.75">
      <c r="A31" s="24"/>
      <c r="B31" s="23" t="s">
        <v>36</v>
      </c>
    </row>
    <row r="33" ht="15.75">
      <c r="A33" s="20"/>
    </row>
    <row r="34" ht="15.75">
      <c r="A34" s="20"/>
    </row>
  </sheetData>
  <sheetProtection/>
  <mergeCells count="6">
    <mergeCell ref="A5:G5"/>
    <mergeCell ref="A6:G6"/>
    <mergeCell ref="A1:G1"/>
    <mergeCell ref="A2:G2"/>
    <mergeCell ref="A3:G3"/>
    <mergeCell ref="A4:G4"/>
  </mergeCells>
  <printOptions/>
  <pageMargins left="0.7480314960629921" right="0.43" top="0.55" bottom="0.53" header="0.38" footer="0.5118110236220472"/>
  <pageSetup horizontalDpi="600" verticalDpi="600" orientation="landscape" paperSize="9" scale="8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29"/>
  <sheetViews>
    <sheetView zoomScale="80" zoomScaleNormal="80" zoomScalePageLayoutView="0" workbookViewId="0" topLeftCell="A1">
      <selection activeCell="M16" sqref="M16"/>
    </sheetView>
  </sheetViews>
  <sheetFormatPr defaultColWidth="9.140625" defaultRowHeight="15"/>
  <cols>
    <col min="1" max="1" width="12.7109375" style="1" customWidth="1"/>
    <col min="2" max="2" width="53.140625" style="1" customWidth="1"/>
    <col min="3" max="3" width="9.57421875" style="1" customWidth="1"/>
    <col min="4" max="4" width="15.28125" style="1" customWidth="1"/>
    <col min="5" max="5" width="21.140625" style="1" customWidth="1"/>
    <col min="6" max="6" width="15.57421875" style="1" customWidth="1"/>
    <col min="7" max="7" width="20.28125" style="1" customWidth="1"/>
    <col min="8" max="16384" width="9.140625" style="1" customWidth="1"/>
  </cols>
  <sheetData>
    <row r="1" spans="1:7" ht="15.75">
      <c r="A1" s="335" t="s">
        <v>53</v>
      </c>
      <c r="B1" s="335"/>
      <c r="C1" s="335"/>
      <c r="D1" s="335"/>
      <c r="E1" s="335"/>
      <c r="F1" s="335"/>
      <c r="G1" s="335"/>
    </row>
    <row r="2" spans="1:7" ht="15.75">
      <c r="A2" s="335" t="s">
        <v>1</v>
      </c>
      <c r="B2" s="335"/>
      <c r="C2" s="335"/>
      <c r="D2" s="335"/>
      <c r="E2" s="335"/>
      <c r="F2" s="335"/>
      <c r="G2" s="335"/>
    </row>
    <row r="3" spans="1:7" ht="15.75">
      <c r="A3" s="336"/>
      <c r="B3" s="336"/>
      <c r="C3" s="336"/>
      <c r="D3" s="336"/>
      <c r="E3" s="336"/>
      <c r="F3" s="336"/>
      <c r="G3" s="336"/>
    </row>
    <row r="4" spans="1:7" ht="62.25" customHeight="1">
      <c r="A4" s="337" t="s">
        <v>54</v>
      </c>
      <c r="B4" s="337"/>
      <c r="C4" s="337"/>
      <c r="D4" s="337"/>
      <c r="E4" s="337"/>
      <c r="F4" s="337"/>
      <c r="G4" s="337"/>
    </row>
    <row r="5" spans="1:7" ht="27.75" customHeight="1">
      <c r="A5" s="338" t="s">
        <v>2</v>
      </c>
      <c r="B5" s="338"/>
      <c r="C5" s="338"/>
      <c r="D5" s="338"/>
      <c r="E5" s="338"/>
      <c r="F5" s="338"/>
      <c r="G5" s="338"/>
    </row>
    <row r="6" spans="1:7" ht="19.5" thickBot="1">
      <c r="A6" s="334"/>
      <c r="B6" s="334"/>
      <c r="C6" s="334"/>
      <c r="D6" s="334"/>
      <c r="E6" s="334"/>
      <c r="F6" s="334"/>
      <c r="G6" s="334"/>
    </row>
    <row r="7" spans="1:6" ht="64.5" customHeight="1" thickBot="1">
      <c r="A7" s="2" t="s">
        <v>3</v>
      </c>
      <c r="B7" s="3" t="s">
        <v>4</v>
      </c>
      <c r="C7" s="4" t="s">
        <v>5</v>
      </c>
      <c r="D7" s="5" t="s">
        <v>6</v>
      </c>
      <c r="E7" s="5" t="s">
        <v>7</v>
      </c>
      <c r="F7" s="5" t="s">
        <v>8</v>
      </c>
    </row>
    <row r="8" spans="1:6" ht="15.75">
      <c r="A8" s="6" t="s">
        <v>10</v>
      </c>
      <c r="B8" s="7" t="s">
        <v>11</v>
      </c>
      <c r="C8" s="8"/>
      <c r="D8" s="9"/>
      <c r="E8" s="9"/>
      <c r="F8" s="9"/>
    </row>
    <row r="9" spans="1:6" ht="15.75">
      <c r="A9" s="10" t="s">
        <v>37</v>
      </c>
      <c r="B9" s="22" t="s">
        <v>12</v>
      </c>
      <c r="C9" s="13">
        <v>2016</v>
      </c>
      <c r="D9" s="12">
        <v>0.4</v>
      </c>
      <c r="E9" s="12">
        <v>1025</v>
      </c>
      <c r="F9" s="12">
        <v>92.8</v>
      </c>
    </row>
    <row r="10" spans="1:6" ht="15.75">
      <c r="A10" s="10" t="s">
        <v>72</v>
      </c>
      <c r="B10" s="22" t="s">
        <v>13</v>
      </c>
      <c r="C10" s="13">
        <v>2016</v>
      </c>
      <c r="D10" s="12">
        <v>0.4</v>
      </c>
      <c r="E10" s="12">
        <v>310</v>
      </c>
      <c r="F10" s="12">
        <v>30</v>
      </c>
    </row>
    <row r="11" spans="1:6" ht="15.75">
      <c r="A11" s="10" t="s">
        <v>73</v>
      </c>
      <c r="B11" s="22" t="s">
        <v>14</v>
      </c>
      <c r="C11" s="13">
        <v>2016</v>
      </c>
      <c r="D11" s="12">
        <v>0.4</v>
      </c>
      <c r="E11" s="12">
        <v>3040</v>
      </c>
      <c r="F11" s="12">
        <v>520</v>
      </c>
    </row>
    <row r="12" spans="1:6" ht="16.5" thickBot="1">
      <c r="A12" s="10" t="s">
        <v>73</v>
      </c>
      <c r="B12" s="14" t="s">
        <v>14</v>
      </c>
      <c r="C12" s="15">
        <v>2016</v>
      </c>
      <c r="D12" s="16" t="s">
        <v>58</v>
      </c>
      <c r="E12" s="45">
        <v>1302.3333333333333</v>
      </c>
      <c r="F12" s="16">
        <v>120</v>
      </c>
    </row>
    <row r="13" spans="1:6" ht="15.75">
      <c r="A13" s="6" t="s">
        <v>15</v>
      </c>
      <c r="B13" s="7" t="s">
        <v>16</v>
      </c>
      <c r="C13" s="8"/>
      <c r="D13" s="9"/>
      <c r="E13" s="9"/>
      <c r="F13" s="9"/>
    </row>
    <row r="14" spans="1:6" ht="15.75">
      <c r="A14" s="10" t="s">
        <v>40</v>
      </c>
      <c r="B14" s="14" t="s">
        <v>17</v>
      </c>
      <c r="C14" s="15">
        <v>2016</v>
      </c>
      <c r="D14" s="12">
        <v>0.4</v>
      </c>
      <c r="E14" s="16">
        <v>303</v>
      </c>
      <c r="F14" s="16">
        <v>181.8</v>
      </c>
    </row>
    <row r="15" spans="1:6" ht="15.75">
      <c r="A15" s="10" t="s">
        <v>42</v>
      </c>
      <c r="B15" s="14" t="s">
        <v>19</v>
      </c>
      <c r="C15" s="15">
        <v>2016</v>
      </c>
      <c r="D15" s="12">
        <v>0.4</v>
      </c>
      <c r="E15" s="16">
        <v>1368</v>
      </c>
      <c r="F15" s="16">
        <v>756.72</v>
      </c>
    </row>
    <row r="16" spans="1:6" ht="15.75">
      <c r="A16" s="10" t="s">
        <v>43</v>
      </c>
      <c r="B16" s="14" t="s">
        <v>20</v>
      </c>
      <c r="C16" s="15">
        <v>2016</v>
      </c>
      <c r="D16" s="12">
        <v>0.4</v>
      </c>
      <c r="E16" s="16">
        <v>1413</v>
      </c>
      <c r="F16" s="16">
        <v>871.3</v>
      </c>
    </row>
    <row r="17" spans="1:6" ht="15.75">
      <c r="A17" s="10" t="s">
        <v>74</v>
      </c>
      <c r="B17" s="14" t="s">
        <v>14</v>
      </c>
      <c r="C17" s="15">
        <v>2016</v>
      </c>
      <c r="D17" s="16" t="s">
        <v>58</v>
      </c>
      <c r="E17" s="16">
        <v>110</v>
      </c>
      <c r="F17" s="16">
        <v>15</v>
      </c>
    </row>
    <row r="18" spans="1:6" ht="15.75">
      <c r="A18" s="10" t="s">
        <v>45</v>
      </c>
      <c r="B18" s="14" t="s">
        <v>21</v>
      </c>
      <c r="C18" s="15">
        <v>2016</v>
      </c>
      <c r="D18" s="16" t="s">
        <v>58</v>
      </c>
      <c r="E18" s="16">
        <v>396</v>
      </c>
      <c r="F18" s="16">
        <v>173</v>
      </c>
    </row>
    <row r="19" spans="1:6" ht="15.75">
      <c r="A19" s="10" t="s">
        <v>75</v>
      </c>
      <c r="B19" s="14" t="s">
        <v>23</v>
      </c>
      <c r="C19" s="15">
        <v>2016</v>
      </c>
      <c r="D19" s="12">
        <v>0.4</v>
      </c>
      <c r="E19" s="16">
        <v>48</v>
      </c>
      <c r="F19" s="16">
        <v>60</v>
      </c>
    </row>
    <row r="20" spans="1:6" ht="16.5" thickBot="1">
      <c r="A20" s="10" t="s">
        <v>76</v>
      </c>
      <c r="B20" s="14" t="s">
        <v>20</v>
      </c>
      <c r="C20" s="15">
        <v>2016</v>
      </c>
      <c r="D20" s="12">
        <v>0.4</v>
      </c>
      <c r="E20" s="16">
        <v>515</v>
      </c>
      <c r="F20" s="16">
        <v>300</v>
      </c>
    </row>
    <row r="21" spans="1:6" ht="15.75">
      <c r="A21" s="6" t="s">
        <v>24</v>
      </c>
      <c r="B21" s="7" t="s">
        <v>25</v>
      </c>
      <c r="C21" s="8" t="s">
        <v>50</v>
      </c>
      <c r="D21" s="9" t="s">
        <v>50</v>
      </c>
      <c r="E21" s="9" t="s">
        <v>50</v>
      </c>
      <c r="F21" s="9" t="s">
        <v>50</v>
      </c>
    </row>
    <row r="22" spans="1:6" ht="15.75">
      <c r="A22" s="10" t="s">
        <v>28</v>
      </c>
      <c r="B22" s="11" t="s">
        <v>29</v>
      </c>
      <c r="C22" s="13">
        <v>2016</v>
      </c>
      <c r="D22" s="12" t="s">
        <v>51</v>
      </c>
      <c r="E22" s="12"/>
      <c r="F22" s="12">
        <v>200</v>
      </c>
    </row>
    <row r="23" spans="1:6" ht="16.5" thickBot="1">
      <c r="A23" s="10" t="s">
        <v>77</v>
      </c>
      <c r="B23" s="11" t="s">
        <v>78</v>
      </c>
      <c r="C23" s="13">
        <v>2016</v>
      </c>
      <c r="D23" s="12" t="s">
        <v>51</v>
      </c>
      <c r="E23" s="12"/>
      <c r="F23" s="12">
        <v>300</v>
      </c>
    </row>
    <row r="24" spans="1:6" ht="48" thickBot="1">
      <c r="A24" s="29" t="s">
        <v>32</v>
      </c>
      <c r="B24" s="30" t="s">
        <v>33</v>
      </c>
      <c r="C24" s="31" t="s">
        <v>50</v>
      </c>
      <c r="D24" s="32" t="s">
        <v>50</v>
      </c>
      <c r="E24" s="32" t="s">
        <v>50</v>
      </c>
      <c r="F24" s="32" t="s">
        <v>50</v>
      </c>
    </row>
    <row r="25" spans="1:6" s="23" customFormat="1" ht="32.25" thickBot="1">
      <c r="A25" s="34" t="s">
        <v>34</v>
      </c>
      <c r="B25" s="35" t="s">
        <v>35</v>
      </c>
      <c r="C25" s="36" t="s">
        <v>50</v>
      </c>
      <c r="D25" s="37" t="s">
        <v>50</v>
      </c>
      <c r="E25" s="37" t="s">
        <v>50</v>
      </c>
      <c r="F25" s="37" t="s">
        <v>50</v>
      </c>
    </row>
    <row r="26" spans="1:2" s="23" customFormat="1" ht="15.75">
      <c r="A26" s="24"/>
      <c r="B26" s="23" t="s">
        <v>36</v>
      </c>
    </row>
    <row r="28" ht="15.75">
      <c r="A28" s="20"/>
    </row>
    <row r="29" ht="15.75">
      <c r="A29" s="20"/>
    </row>
  </sheetData>
  <sheetProtection/>
  <mergeCells count="6">
    <mergeCell ref="A5:G5"/>
    <mergeCell ref="A6:G6"/>
    <mergeCell ref="A1:G1"/>
    <mergeCell ref="A2:G2"/>
    <mergeCell ref="A3:G3"/>
    <mergeCell ref="A4:G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L16" sqref="L16"/>
    </sheetView>
  </sheetViews>
  <sheetFormatPr defaultColWidth="9.140625" defaultRowHeight="15"/>
  <cols>
    <col min="2" max="2" width="27.8515625" style="0" customWidth="1"/>
    <col min="3" max="3" width="17.7109375" style="0" customWidth="1"/>
    <col min="4" max="4" width="13.57421875" style="0" customWidth="1"/>
    <col min="5" max="5" width="14.8515625" style="0" customWidth="1"/>
  </cols>
  <sheetData>
    <row r="1" spans="1:5" s="47" customFormat="1" ht="12.75">
      <c r="A1" s="46"/>
      <c r="E1" s="47" t="s">
        <v>146</v>
      </c>
    </row>
    <row r="2" spans="1:7" s="47" customFormat="1" ht="30" customHeight="1">
      <c r="A2" s="370" t="s">
        <v>1</v>
      </c>
      <c r="B2" s="370"/>
      <c r="C2" s="370"/>
      <c r="D2" s="370"/>
      <c r="E2" s="370"/>
      <c r="F2" s="20"/>
      <c r="G2" s="20"/>
    </row>
    <row r="3" s="47" customFormat="1" ht="12.75">
      <c r="A3" s="46"/>
    </row>
    <row r="4" spans="1:4" s="47" customFormat="1" ht="15.75">
      <c r="A4" s="46"/>
      <c r="B4" s="71"/>
      <c r="C4" s="81" t="s">
        <v>147</v>
      </c>
      <c r="D4" s="71"/>
    </row>
    <row r="5" spans="1:4" s="47" customFormat="1" ht="15.75">
      <c r="A5" s="46"/>
      <c r="B5" s="71"/>
      <c r="C5" s="81" t="s">
        <v>148</v>
      </c>
      <c r="D5" s="71"/>
    </row>
    <row r="6" spans="1:4" s="47" customFormat="1" ht="15.75">
      <c r="A6" s="46"/>
      <c r="B6" s="71"/>
      <c r="C6" s="81" t="s">
        <v>149</v>
      </c>
      <c r="D6" s="71"/>
    </row>
    <row r="7" spans="1:4" s="47" customFormat="1" ht="15.75">
      <c r="A7" s="46"/>
      <c r="B7" s="71"/>
      <c r="C7" s="81" t="s">
        <v>150</v>
      </c>
      <c r="D7" s="71"/>
    </row>
    <row r="8" spans="1:4" s="47" customFormat="1" ht="15.75">
      <c r="A8" s="46"/>
      <c r="B8" s="71"/>
      <c r="C8" s="81" t="s">
        <v>151</v>
      </c>
      <c r="D8" s="71"/>
    </row>
    <row r="9" spans="1:3" s="47" customFormat="1" ht="12.75">
      <c r="A9" s="46"/>
      <c r="C9" s="48" t="s">
        <v>95</v>
      </c>
    </row>
    <row r="10" spans="1:3" s="47" customFormat="1" ht="12.75">
      <c r="A10" s="46"/>
      <c r="C10" s="48" t="s">
        <v>96</v>
      </c>
    </row>
    <row r="11" spans="1:5" s="47" customFormat="1" ht="13.5" thickBot="1">
      <c r="A11" s="46"/>
      <c r="E11" s="48" t="s">
        <v>97</v>
      </c>
    </row>
    <row r="12" spans="1:5" s="49" customFormat="1" ht="64.5" thickBot="1">
      <c r="A12" s="78" t="s">
        <v>98</v>
      </c>
      <c r="B12" s="79" t="s">
        <v>99</v>
      </c>
      <c r="C12" s="76" t="s">
        <v>666</v>
      </c>
      <c r="D12" s="76" t="s">
        <v>245</v>
      </c>
      <c r="E12" s="77" t="s">
        <v>159</v>
      </c>
    </row>
    <row r="13" spans="1:5" s="47" customFormat="1" ht="12.75">
      <c r="A13" s="75">
        <v>1</v>
      </c>
      <c r="B13" s="75">
        <v>2</v>
      </c>
      <c r="C13" s="75">
        <v>3</v>
      </c>
      <c r="D13" s="75">
        <v>4</v>
      </c>
      <c r="E13" s="75">
        <v>5</v>
      </c>
    </row>
    <row r="14" spans="1:5" s="47" customFormat="1" ht="15">
      <c r="A14" s="458" t="s">
        <v>152</v>
      </c>
      <c r="B14" s="459"/>
      <c r="C14" s="459"/>
      <c r="D14" s="459"/>
      <c r="E14" s="459"/>
    </row>
    <row r="15" spans="1:5" s="47" customFormat="1" ht="12.75">
      <c r="A15" s="319"/>
      <c r="B15" s="320" t="s">
        <v>145</v>
      </c>
      <c r="C15" s="321">
        <f>'Приложение № 2'!F57</f>
        <v>8373.240727966804</v>
      </c>
      <c r="D15" s="321">
        <f>'Приложение № 2'!F45</f>
        <v>5901.813849160304</v>
      </c>
      <c r="E15" s="321">
        <f>'Приложение № 2'!F33</f>
        <v>11304.7750662252</v>
      </c>
    </row>
    <row r="16" spans="1:5" ht="15">
      <c r="A16" s="460" t="s">
        <v>156</v>
      </c>
      <c r="B16" s="461"/>
      <c r="C16" s="461"/>
      <c r="D16" s="461"/>
      <c r="E16" s="461"/>
    </row>
    <row r="17" spans="1:5" ht="15">
      <c r="A17" s="107"/>
      <c r="B17" s="107" t="s">
        <v>145</v>
      </c>
      <c r="C17" s="322">
        <f>'Приложение № 2'!F58</f>
        <v>5582.160485311203</v>
      </c>
      <c r="D17" s="108">
        <f>'Приложение № 2'!F46</f>
        <v>3934.5425661068693</v>
      </c>
      <c r="E17" s="108">
        <f>'Приложение № 2'!F34</f>
        <v>12076.913874172185</v>
      </c>
    </row>
    <row r="18" spans="1:5" ht="15" hidden="1">
      <c r="A18" s="458" t="s">
        <v>160</v>
      </c>
      <c r="B18" s="459"/>
      <c r="C18" s="459"/>
      <c r="D18" s="459"/>
      <c r="E18" s="459"/>
    </row>
    <row r="19" spans="1:5" ht="15" hidden="1">
      <c r="A19" s="80"/>
      <c r="B19" s="80" t="s">
        <v>145</v>
      </c>
      <c r="C19" s="80"/>
      <c r="D19" s="80"/>
      <c r="E19" s="80"/>
    </row>
    <row r="20" spans="1:5" ht="15" hidden="1">
      <c r="A20" s="458" t="s">
        <v>161</v>
      </c>
      <c r="B20" s="459"/>
      <c r="C20" s="459"/>
      <c r="D20" s="459"/>
      <c r="E20" s="459"/>
    </row>
    <row r="21" spans="1:5" ht="15" hidden="1">
      <c r="A21" s="80"/>
      <c r="B21" s="80" t="s">
        <v>145</v>
      </c>
      <c r="C21" s="80"/>
      <c r="D21" s="80"/>
      <c r="E21" s="80"/>
    </row>
  </sheetData>
  <sheetProtection/>
  <mergeCells count="5">
    <mergeCell ref="A2:E2"/>
    <mergeCell ref="A14:E14"/>
    <mergeCell ref="A16:E16"/>
    <mergeCell ref="A18:E18"/>
    <mergeCell ref="A20:E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zoomScale="80" zoomScaleNormal="80" zoomScalePageLayoutView="0" workbookViewId="0" topLeftCell="A4">
      <selection activeCell="E9" sqref="E9:F23"/>
    </sheetView>
  </sheetViews>
  <sheetFormatPr defaultColWidth="9.140625" defaultRowHeight="15"/>
  <cols>
    <col min="1" max="1" width="14.00390625" style="0" customWidth="1"/>
    <col min="2" max="2" width="48.28125" style="0" customWidth="1"/>
    <col min="4" max="4" width="13.8515625" style="0" customWidth="1"/>
    <col min="5" max="5" width="21.140625" style="0" customWidth="1"/>
    <col min="6" max="6" width="14.28125" style="0" customWidth="1"/>
  </cols>
  <sheetData>
    <row r="1" spans="1:7" s="1" customFormat="1" ht="15.75">
      <c r="A1" s="335" t="s">
        <v>53</v>
      </c>
      <c r="B1" s="335"/>
      <c r="C1" s="335"/>
      <c r="D1" s="335"/>
      <c r="E1" s="335"/>
      <c r="F1" s="335"/>
      <c r="G1" s="335"/>
    </row>
    <row r="2" spans="1:7" s="1" customFormat="1" ht="15.75">
      <c r="A2" s="335" t="s">
        <v>1</v>
      </c>
      <c r="B2" s="335"/>
      <c r="C2" s="335"/>
      <c r="D2" s="335"/>
      <c r="E2" s="335"/>
      <c r="F2" s="335"/>
      <c r="G2" s="335"/>
    </row>
    <row r="3" spans="1:7" s="1" customFormat="1" ht="15.75">
      <c r="A3" s="336"/>
      <c r="B3" s="336"/>
      <c r="C3" s="336"/>
      <c r="D3" s="336"/>
      <c r="E3" s="336"/>
      <c r="F3" s="336"/>
      <c r="G3" s="336"/>
    </row>
    <row r="4" spans="1:7" s="1" customFormat="1" ht="111.75" customHeight="1">
      <c r="A4" s="337" t="s">
        <v>54</v>
      </c>
      <c r="B4" s="337"/>
      <c r="C4" s="337"/>
      <c r="D4" s="337"/>
      <c r="E4" s="337"/>
      <c r="F4" s="337"/>
      <c r="G4" s="337"/>
    </row>
    <row r="5" spans="1:7" s="1" customFormat="1" ht="48.75" customHeight="1">
      <c r="A5" s="338" t="s">
        <v>2</v>
      </c>
      <c r="B5" s="338"/>
      <c r="C5" s="338"/>
      <c r="D5" s="338"/>
      <c r="E5" s="338"/>
      <c r="F5" s="338"/>
      <c r="G5" s="338"/>
    </row>
    <row r="6" spans="1:7" s="1" customFormat="1" ht="19.5" thickBot="1">
      <c r="A6" s="334"/>
      <c r="B6" s="334"/>
      <c r="C6" s="334"/>
      <c r="D6" s="334"/>
      <c r="E6" s="334"/>
      <c r="F6" s="334"/>
      <c r="G6" s="334"/>
    </row>
    <row r="7" spans="1:6" s="1" customFormat="1" ht="64.5" customHeight="1" thickBot="1">
      <c r="A7" s="2" t="s">
        <v>3</v>
      </c>
      <c r="B7" s="3" t="s">
        <v>4</v>
      </c>
      <c r="C7" s="4" t="s">
        <v>5</v>
      </c>
      <c r="D7" s="5" t="s">
        <v>6</v>
      </c>
      <c r="E7" s="5" t="s">
        <v>7</v>
      </c>
      <c r="F7" s="5" t="s">
        <v>8</v>
      </c>
    </row>
    <row r="8" spans="1:6" s="1" customFormat="1" ht="15.75">
      <c r="A8" s="6" t="s">
        <v>10</v>
      </c>
      <c r="B8" s="7" t="s">
        <v>11</v>
      </c>
      <c r="C8" s="8"/>
      <c r="D8" s="9"/>
      <c r="E8" s="9"/>
      <c r="F8" s="9"/>
    </row>
    <row r="9" spans="1:6" s="1" customFormat="1" ht="15.75">
      <c r="A9" s="10" t="s">
        <v>37</v>
      </c>
      <c r="B9" s="22" t="s">
        <v>12</v>
      </c>
      <c r="C9" s="13">
        <v>2017</v>
      </c>
      <c r="D9" s="12">
        <v>0.4</v>
      </c>
      <c r="E9" s="12">
        <v>1484</v>
      </c>
      <c r="F9" s="12">
        <v>252</v>
      </c>
    </row>
    <row r="10" spans="1:6" s="1" customFormat="1" ht="15.75">
      <c r="A10" s="10" t="s">
        <v>72</v>
      </c>
      <c r="B10" s="22" t="s">
        <v>13</v>
      </c>
      <c r="C10" s="13">
        <v>2017</v>
      </c>
      <c r="D10" s="12">
        <v>0.4</v>
      </c>
      <c r="E10" s="12">
        <v>485</v>
      </c>
      <c r="F10" s="12">
        <v>110</v>
      </c>
    </row>
    <row r="11" spans="1:6" s="1" customFormat="1" ht="15.75">
      <c r="A11" s="10" t="s">
        <v>73</v>
      </c>
      <c r="B11" s="22" t="s">
        <v>14</v>
      </c>
      <c r="C11" s="13">
        <v>2017</v>
      </c>
      <c r="D11" s="12">
        <v>0.4</v>
      </c>
      <c r="E11" s="12">
        <v>3216</v>
      </c>
      <c r="F11" s="12">
        <v>225</v>
      </c>
    </row>
    <row r="12" spans="1:6" s="1" customFormat="1" ht="32.25" thickBot="1">
      <c r="A12" s="10" t="s">
        <v>73</v>
      </c>
      <c r="B12" s="14" t="s">
        <v>14</v>
      </c>
      <c r="C12" s="15">
        <v>2017</v>
      </c>
      <c r="D12" s="16" t="s">
        <v>58</v>
      </c>
      <c r="E12" s="12">
        <v>300</v>
      </c>
      <c r="F12" s="16">
        <v>150</v>
      </c>
    </row>
    <row r="13" spans="1:6" s="1" customFormat="1" ht="15.75">
      <c r="A13" s="6" t="s">
        <v>15</v>
      </c>
      <c r="B13" s="7" t="s">
        <v>16</v>
      </c>
      <c r="C13" s="8"/>
      <c r="D13" s="9"/>
      <c r="E13" s="9"/>
      <c r="F13" s="9"/>
    </row>
    <row r="14" spans="1:6" s="1" customFormat="1" ht="15.75">
      <c r="A14" s="10" t="s">
        <v>40</v>
      </c>
      <c r="B14" s="14" t="s">
        <v>17</v>
      </c>
      <c r="C14" s="15">
        <v>2017</v>
      </c>
      <c r="D14" s="12">
        <v>0.4</v>
      </c>
      <c r="E14" s="16">
        <v>333</v>
      </c>
      <c r="F14" s="16">
        <v>333.01</v>
      </c>
    </row>
    <row r="15" spans="1:6" s="1" customFormat="1" ht="31.5">
      <c r="A15" s="10" t="s">
        <v>42</v>
      </c>
      <c r="B15" s="14" t="s">
        <v>19</v>
      </c>
      <c r="C15" s="15">
        <v>2017</v>
      </c>
      <c r="D15" s="12">
        <v>0.4</v>
      </c>
      <c r="E15" s="16">
        <v>1506</v>
      </c>
      <c r="F15" s="16">
        <v>764</v>
      </c>
    </row>
    <row r="16" spans="1:6" s="1" customFormat="1" ht="15.75">
      <c r="A16" s="10" t="s">
        <v>43</v>
      </c>
      <c r="B16" s="14" t="s">
        <v>20</v>
      </c>
      <c r="C16" s="15">
        <v>2017</v>
      </c>
      <c r="D16" s="12">
        <v>0.4</v>
      </c>
      <c r="E16" s="16">
        <v>255</v>
      </c>
      <c r="F16" s="16">
        <v>268</v>
      </c>
    </row>
    <row r="17" spans="1:6" s="1" customFormat="1" ht="31.5">
      <c r="A17" s="10" t="s">
        <v>74</v>
      </c>
      <c r="B17" s="14" t="s">
        <v>14</v>
      </c>
      <c r="C17" s="15">
        <v>2017</v>
      </c>
      <c r="D17" s="16" t="s">
        <v>58</v>
      </c>
      <c r="E17" s="16"/>
      <c r="F17" s="16"/>
    </row>
    <row r="18" spans="1:6" s="1" customFormat="1" ht="15.75">
      <c r="A18" s="10" t="s">
        <v>45</v>
      </c>
      <c r="B18" s="14" t="s">
        <v>21</v>
      </c>
      <c r="C18" s="15">
        <v>2017</v>
      </c>
      <c r="D18" s="16" t="s">
        <v>58</v>
      </c>
      <c r="E18" s="16">
        <v>1141</v>
      </c>
      <c r="F18" s="16">
        <v>1261.8</v>
      </c>
    </row>
    <row r="19" spans="1:6" s="1" customFormat="1" ht="15.75">
      <c r="A19" s="10" t="s">
        <v>75</v>
      </c>
      <c r="B19" s="14" t="s">
        <v>23</v>
      </c>
      <c r="C19" s="15">
        <v>2017</v>
      </c>
      <c r="D19" s="12">
        <v>0.4</v>
      </c>
      <c r="E19" s="16"/>
      <c r="F19" s="16"/>
    </row>
    <row r="20" spans="1:6" s="1" customFormat="1" ht="16.5" thickBot="1">
      <c r="A20" s="10" t="s">
        <v>76</v>
      </c>
      <c r="B20" s="14" t="s">
        <v>20</v>
      </c>
      <c r="C20" s="15">
        <v>2017</v>
      </c>
      <c r="D20" s="12">
        <v>0.4</v>
      </c>
      <c r="E20" s="16"/>
      <c r="F20" s="16"/>
    </row>
    <row r="21" spans="1:6" s="1" customFormat="1" ht="15.75">
      <c r="A21" s="6" t="s">
        <v>24</v>
      </c>
      <c r="B21" s="7" t="s">
        <v>25</v>
      </c>
      <c r="C21" s="8" t="s">
        <v>50</v>
      </c>
      <c r="D21" s="9" t="s">
        <v>50</v>
      </c>
      <c r="E21" s="9" t="s">
        <v>50</v>
      </c>
      <c r="F21" s="9" t="s">
        <v>50</v>
      </c>
    </row>
    <row r="22" spans="1:6" s="1" customFormat="1" ht="15.75">
      <c r="A22" s="10" t="s">
        <v>28</v>
      </c>
      <c r="B22" s="11" t="s">
        <v>29</v>
      </c>
      <c r="C22" s="15">
        <v>2017</v>
      </c>
      <c r="D22" s="12" t="s">
        <v>51</v>
      </c>
      <c r="E22" s="12"/>
      <c r="F22" s="12">
        <v>15</v>
      </c>
    </row>
    <row r="23" spans="1:6" s="1" customFormat="1" ht="16.5" thickBot="1">
      <c r="A23" s="10" t="s">
        <v>77</v>
      </c>
      <c r="B23" s="11" t="s">
        <v>143</v>
      </c>
      <c r="C23" s="15">
        <v>2017</v>
      </c>
      <c r="D23" s="12" t="s">
        <v>51</v>
      </c>
      <c r="E23" s="12"/>
      <c r="F23" s="12">
        <v>463.4</v>
      </c>
    </row>
    <row r="24" spans="1:6" s="1" customFormat="1" ht="48" thickBot="1">
      <c r="A24" s="29" t="s">
        <v>32</v>
      </c>
      <c r="B24" s="30" t="s">
        <v>33</v>
      </c>
      <c r="C24" s="31" t="s">
        <v>50</v>
      </c>
      <c r="D24" s="32" t="s">
        <v>50</v>
      </c>
      <c r="E24" s="32" t="s">
        <v>50</v>
      </c>
      <c r="F24" s="32" t="s">
        <v>50</v>
      </c>
    </row>
    <row r="25" spans="1:6" s="23" customFormat="1" ht="32.25" thickBot="1">
      <c r="A25" s="34" t="s">
        <v>34</v>
      </c>
      <c r="B25" s="35" t="s">
        <v>35</v>
      </c>
      <c r="C25" s="36" t="s">
        <v>50</v>
      </c>
      <c r="D25" s="37" t="s">
        <v>50</v>
      </c>
      <c r="E25" s="37" t="s">
        <v>50</v>
      </c>
      <c r="F25" s="37" t="s">
        <v>50</v>
      </c>
    </row>
    <row r="26" spans="1:2" s="23" customFormat="1" ht="15.75">
      <c r="A26" s="24"/>
      <c r="B26" s="23" t="s">
        <v>36</v>
      </c>
    </row>
  </sheetData>
  <sheetProtection/>
  <mergeCells count="6">
    <mergeCell ref="A5:G5"/>
    <mergeCell ref="A6:G6"/>
    <mergeCell ref="A1:G1"/>
    <mergeCell ref="A2:G2"/>
    <mergeCell ref="A3:G3"/>
    <mergeCell ref="A4:G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6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zoomScalePageLayoutView="0" workbookViewId="0" topLeftCell="A7">
      <selection activeCell="P15" sqref="P15"/>
    </sheetView>
  </sheetViews>
  <sheetFormatPr defaultColWidth="9.140625" defaultRowHeight="15"/>
  <cols>
    <col min="1" max="1" width="14.00390625" style="0" customWidth="1"/>
    <col min="2" max="2" width="48.28125" style="0" customWidth="1"/>
    <col min="4" max="4" width="13.8515625" style="0" customWidth="1"/>
    <col min="5" max="5" width="21.140625" style="0" customWidth="1"/>
    <col min="6" max="6" width="16.57421875" style="0" customWidth="1"/>
  </cols>
  <sheetData>
    <row r="1" spans="1:7" s="1" customFormat="1" ht="15.75">
      <c r="A1" s="335" t="s">
        <v>53</v>
      </c>
      <c r="B1" s="335"/>
      <c r="C1" s="335"/>
      <c r="D1" s="335"/>
      <c r="E1" s="335"/>
      <c r="F1" s="335"/>
      <c r="G1" s="335"/>
    </row>
    <row r="2" spans="1:7" s="1" customFormat="1" ht="15.75">
      <c r="A2" s="335" t="s">
        <v>1</v>
      </c>
      <c r="B2" s="335"/>
      <c r="C2" s="335"/>
      <c r="D2" s="335"/>
      <c r="E2" s="335"/>
      <c r="F2" s="335"/>
      <c r="G2" s="335"/>
    </row>
    <row r="3" spans="1:7" s="1" customFormat="1" ht="15.75">
      <c r="A3" s="336"/>
      <c r="B3" s="336"/>
      <c r="C3" s="336"/>
      <c r="D3" s="336"/>
      <c r="E3" s="336"/>
      <c r="F3" s="336"/>
      <c r="G3" s="336"/>
    </row>
    <row r="4" spans="1:7" s="1" customFormat="1" ht="93" customHeight="1">
      <c r="A4" s="337" t="s">
        <v>54</v>
      </c>
      <c r="B4" s="337"/>
      <c r="C4" s="337"/>
      <c r="D4" s="337"/>
      <c r="E4" s="337"/>
      <c r="F4" s="337"/>
      <c r="G4" s="337"/>
    </row>
    <row r="5" spans="1:7" s="1" customFormat="1" ht="27.75" customHeight="1">
      <c r="A5" s="338" t="s">
        <v>2</v>
      </c>
      <c r="B5" s="338"/>
      <c r="C5" s="338"/>
      <c r="D5" s="338"/>
      <c r="E5" s="338"/>
      <c r="F5" s="338"/>
      <c r="G5" s="338"/>
    </row>
    <row r="6" spans="1:7" s="1" customFormat="1" ht="19.5" thickBot="1">
      <c r="A6" s="334"/>
      <c r="B6" s="334"/>
      <c r="C6" s="334"/>
      <c r="D6" s="334"/>
      <c r="E6" s="334"/>
      <c r="F6" s="334"/>
      <c r="G6" s="334"/>
    </row>
    <row r="7" spans="1:6" s="1" customFormat="1" ht="64.5" customHeight="1" thickBot="1">
      <c r="A7" s="2" t="s">
        <v>3</v>
      </c>
      <c r="B7" s="3" t="s">
        <v>4</v>
      </c>
      <c r="C7" s="4" t="s">
        <v>5</v>
      </c>
      <c r="D7" s="5" t="s">
        <v>6</v>
      </c>
      <c r="E7" s="5" t="s">
        <v>7</v>
      </c>
      <c r="F7" s="5" t="s">
        <v>8</v>
      </c>
    </row>
    <row r="8" spans="1:6" s="1" customFormat="1" ht="15.75">
      <c r="A8" s="6" t="s">
        <v>10</v>
      </c>
      <c r="B8" s="7" t="s">
        <v>11</v>
      </c>
      <c r="C8" s="8"/>
      <c r="D8" s="9"/>
      <c r="E8" s="9"/>
      <c r="F8" s="9"/>
    </row>
    <row r="9" spans="1:6" s="1" customFormat="1" ht="15.75">
      <c r="A9" s="10" t="s">
        <v>37</v>
      </c>
      <c r="B9" s="22" t="s">
        <v>12</v>
      </c>
      <c r="C9" s="13">
        <v>2018</v>
      </c>
      <c r="D9" s="12">
        <v>0.4</v>
      </c>
      <c r="E9" s="12"/>
      <c r="F9" s="12"/>
    </row>
    <row r="10" spans="1:6" s="1" customFormat="1" ht="15.75">
      <c r="A10" s="10" t="s">
        <v>72</v>
      </c>
      <c r="B10" s="22" t="s">
        <v>13</v>
      </c>
      <c r="C10" s="13">
        <v>2018</v>
      </c>
      <c r="D10" s="12">
        <v>0.4</v>
      </c>
      <c r="E10" s="249">
        <f>SUM('[7]Приложение 1_2018 год'!$F$7:$F$37)*1000</f>
        <v>3442.999999999999</v>
      </c>
      <c r="F10" s="255">
        <f>SUM('[7]Приложение 1_2018 год'!$G$7:$G$37)</f>
        <v>262.6999999999999</v>
      </c>
    </row>
    <row r="11" spans="1:6" s="1" customFormat="1" ht="15.75">
      <c r="A11" s="10" t="s">
        <v>73</v>
      </c>
      <c r="B11" s="22" t="s">
        <v>14</v>
      </c>
      <c r="C11" s="13">
        <v>2018</v>
      </c>
      <c r="D11" s="12">
        <v>0.4</v>
      </c>
      <c r="E11" s="249">
        <f>SUM('[7]Приложение 1_2018 год'!$F$39:$F$50)*1000</f>
        <v>1613</v>
      </c>
      <c r="F11" s="255">
        <f>SUM('[7]Приложение 1_2018 год'!$G$39:$G$50)</f>
        <v>676</v>
      </c>
    </row>
    <row r="12" spans="1:6" s="1" customFormat="1" ht="32.25" thickBot="1">
      <c r="A12" s="10" t="s">
        <v>73</v>
      </c>
      <c r="B12" s="14" t="s">
        <v>14</v>
      </c>
      <c r="C12" s="13">
        <v>2018</v>
      </c>
      <c r="D12" s="16" t="s">
        <v>58</v>
      </c>
      <c r="E12" s="249">
        <f>'[7]Приложение 1_2018 год'!$F$52*1000</f>
        <v>1520</v>
      </c>
      <c r="F12" s="255">
        <f>'[7]Приложение 1_2018 год'!$G$52</f>
        <v>15</v>
      </c>
    </row>
    <row r="13" spans="1:6" s="1" customFormat="1" ht="15.75">
      <c r="A13" s="6" t="s">
        <v>15</v>
      </c>
      <c r="B13" s="7" t="s">
        <v>16</v>
      </c>
      <c r="C13" s="8"/>
      <c r="D13" s="9"/>
      <c r="E13" s="244"/>
      <c r="F13" s="244"/>
    </row>
    <row r="14" spans="1:6" s="1" customFormat="1" ht="15.75">
      <c r="A14" s="10" t="s">
        <v>240</v>
      </c>
      <c r="B14" s="14" t="s">
        <v>17</v>
      </c>
      <c r="C14" s="13">
        <v>2018</v>
      </c>
      <c r="D14" s="12">
        <v>0.4</v>
      </c>
      <c r="E14" s="121">
        <f>SUM('[7]Приложение 1_2018 год'!$F$70:$F$74)*1000</f>
        <v>1580</v>
      </c>
      <c r="F14" s="255">
        <f>SUM('[7]Приложение 1_2018 год'!$G$70:$G$74)</f>
        <v>313.4</v>
      </c>
    </row>
    <row r="15" spans="1:6" s="1" customFormat="1" ht="31.5">
      <c r="A15" s="10" t="s">
        <v>239</v>
      </c>
      <c r="B15" s="14" t="s">
        <v>19</v>
      </c>
      <c r="C15" s="13">
        <v>2018</v>
      </c>
      <c r="D15" s="12">
        <v>0.4</v>
      </c>
      <c r="E15" s="121">
        <f>SUM('[7]Приложение 1_2018 год'!$F$61:$F$68)*1000</f>
        <v>1515.9999999999998</v>
      </c>
      <c r="F15" s="255">
        <f>SUM('[7]Приложение 1_2018 год'!$G$61:$G$68)</f>
        <v>952.4</v>
      </c>
    </row>
    <row r="16" spans="1:6" s="1" customFormat="1" ht="15.75">
      <c r="A16" s="10" t="s">
        <v>238</v>
      </c>
      <c r="B16" s="14" t="s">
        <v>20</v>
      </c>
      <c r="C16" s="13">
        <v>2018</v>
      </c>
      <c r="D16" s="12">
        <v>0.4</v>
      </c>
      <c r="E16" s="121">
        <f>SUM('[7]Приложение 1_2018 год'!$F$55:$F$59)*1000</f>
        <v>915.9999999999999</v>
      </c>
      <c r="F16" s="255">
        <f>SUM('[7]Приложение 1_2018 год'!$G$55:$G$59)</f>
        <v>640</v>
      </c>
    </row>
    <row r="17" spans="1:6" s="1" customFormat="1" ht="31.5">
      <c r="A17" s="10" t="s">
        <v>240</v>
      </c>
      <c r="B17" s="14" t="s">
        <v>14</v>
      </c>
      <c r="C17" s="13">
        <v>2018</v>
      </c>
      <c r="D17" s="16" t="s">
        <v>58</v>
      </c>
      <c r="E17" s="121">
        <f>SUM('[7]Приложение 1_2018 год'!$F$76:$F$77)*1000</f>
        <v>1499</v>
      </c>
      <c r="F17" s="255">
        <f>'[7]Приложение 1_2018 год'!$G$76+'[7]Приложение 1_2018 год'!$G$77</f>
        <v>360</v>
      </c>
    </row>
    <row r="18" spans="1:6" s="1" customFormat="1" ht="15.75">
      <c r="A18" s="10" t="s">
        <v>239</v>
      </c>
      <c r="B18" s="14" t="s">
        <v>21</v>
      </c>
      <c r="C18" s="13">
        <v>2018</v>
      </c>
      <c r="D18" s="16" t="s">
        <v>58</v>
      </c>
      <c r="E18" s="121">
        <f>SUM('[7]Приложение 1_2018 год'!$F$79:$F$81)*1000</f>
        <v>3044</v>
      </c>
      <c r="F18" s="255">
        <f>SUM('[7]Приложение 1_2018 год'!$G$79:$G$81)</f>
        <v>778</v>
      </c>
    </row>
    <row r="19" spans="1:6" s="1" customFormat="1" ht="31.5">
      <c r="A19" s="10" t="s">
        <v>243</v>
      </c>
      <c r="B19" s="14" t="s">
        <v>14</v>
      </c>
      <c r="C19" s="13">
        <v>2018</v>
      </c>
      <c r="D19" s="12">
        <v>0.4</v>
      </c>
      <c r="E19" s="121">
        <v>20</v>
      </c>
      <c r="F19" s="121">
        <v>70</v>
      </c>
    </row>
    <row r="20" spans="1:6" s="1" customFormat="1" ht="31.5">
      <c r="A20" s="10" t="s">
        <v>241</v>
      </c>
      <c r="B20" s="14" t="s">
        <v>19</v>
      </c>
      <c r="C20" s="13">
        <v>2018</v>
      </c>
      <c r="D20" s="12" t="s">
        <v>44</v>
      </c>
      <c r="E20" s="121">
        <v>216</v>
      </c>
      <c r="F20" s="121">
        <v>120</v>
      </c>
    </row>
    <row r="21" spans="1:6" s="1" customFormat="1" ht="16.5" thickBot="1">
      <c r="A21" s="10" t="s">
        <v>242</v>
      </c>
      <c r="B21" s="14" t="s">
        <v>20</v>
      </c>
      <c r="C21" s="13">
        <v>2018</v>
      </c>
      <c r="D21" s="12">
        <v>0.4</v>
      </c>
      <c r="E21" s="121">
        <v>42</v>
      </c>
      <c r="F21" s="121">
        <v>218</v>
      </c>
    </row>
    <row r="22" spans="1:6" s="1" customFormat="1" ht="15.75">
      <c r="A22" s="6" t="s">
        <v>24</v>
      </c>
      <c r="B22" s="7" t="s">
        <v>25</v>
      </c>
      <c r="C22" s="8" t="s">
        <v>50</v>
      </c>
      <c r="D22" s="9" t="s">
        <v>50</v>
      </c>
      <c r="E22" s="244" t="s">
        <v>50</v>
      </c>
      <c r="F22" s="244" t="s">
        <v>50</v>
      </c>
    </row>
    <row r="23" spans="1:6" s="1" customFormat="1" ht="15.75">
      <c r="A23" s="10" t="s">
        <v>28</v>
      </c>
      <c r="B23" s="11" t="s">
        <v>29</v>
      </c>
      <c r="C23" s="13">
        <v>2018</v>
      </c>
      <c r="D23" s="12"/>
      <c r="E23" s="249"/>
      <c r="F23" s="249">
        <f>SUM('[7]Приложение 1_2018 год'!$G$91:$G$104)</f>
        <v>2459</v>
      </c>
    </row>
    <row r="24" spans="1:6" s="1" customFormat="1" ht="16.5" thickBot="1">
      <c r="A24" s="10" t="s">
        <v>77</v>
      </c>
      <c r="B24" s="11" t="s">
        <v>143</v>
      </c>
      <c r="C24" s="13">
        <v>2018</v>
      </c>
      <c r="D24" s="12"/>
      <c r="E24" s="12"/>
      <c r="F24" s="12"/>
    </row>
    <row r="25" spans="1:6" s="1" customFormat="1" ht="48" thickBot="1">
      <c r="A25" s="29" t="s">
        <v>32</v>
      </c>
      <c r="B25" s="30" t="s">
        <v>33</v>
      </c>
      <c r="C25" s="31" t="s">
        <v>50</v>
      </c>
      <c r="D25" s="32" t="s">
        <v>50</v>
      </c>
      <c r="E25" s="32" t="s">
        <v>50</v>
      </c>
      <c r="F25" s="32" t="s">
        <v>50</v>
      </c>
    </row>
    <row r="26" spans="1:6" s="23" customFormat="1" ht="32.25" thickBot="1">
      <c r="A26" s="34" t="s">
        <v>34</v>
      </c>
      <c r="B26" s="35" t="s">
        <v>35</v>
      </c>
      <c r="C26" s="36" t="s">
        <v>50</v>
      </c>
      <c r="D26" s="37" t="s">
        <v>50</v>
      </c>
      <c r="E26" s="37" t="s">
        <v>50</v>
      </c>
      <c r="F26" s="37" t="s">
        <v>50</v>
      </c>
    </row>
    <row r="27" spans="1:2" s="23" customFormat="1" ht="15.75">
      <c r="A27" s="24"/>
      <c r="B27" s="23" t="s">
        <v>36</v>
      </c>
    </row>
  </sheetData>
  <sheetProtection/>
  <mergeCells count="6">
    <mergeCell ref="A5:G5"/>
    <mergeCell ref="A6:G6"/>
    <mergeCell ref="A1:G1"/>
    <mergeCell ref="A2:G2"/>
    <mergeCell ref="A3:G3"/>
    <mergeCell ref="A4:G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6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zoomScalePageLayoutView="0" workbookViewId="0" topLeftCell="A1">
      <selection activeCell="P10" sqref="P10"/>
    </sheetView>
  </sheetViews>
  <sheetFormatPr defaultColWidth="9.140625" defaultRowHeight="15"/>
  <cols>
    <col min="1" max="1" width="9.57421875" style="0" customWidth="1"/>
    <col min="2" max="2" width="46.8515625" style="0" customWidth="1"/>
    <col min="4" max="4" width="13.7109375" style="0" customWidth="1"/>
    <col min="5" max="5" width="22.00390625" style="0" customWidth="1"/>
    <col min="6" max="6" width="19.28125" style="0" customWidth="1"/>
  </cols>
  <sheetData>
    <row r="1" spans="1:6" ht="103.5" customHeight="1">
      <c r="A1" s="337" t="s">
        <v>54</v>
      </c>
      <c r="B1" s="337"/>
      <c r="C1" s="337"/>
      <c r="D1" s="337"/>
      <c r="E1" s="337"/>
      <c r="F1" s="337"/>
    </row>
    <row r="2" spans="1:6" ht="15.75">
      <c r="A2" s="338" t="s">
        <v>2</v>
      </c>
      <c r="B2" s="338"/>
      <c r="C2" s="338"/>
      <c r="D2" s="338"/>
      <c r="E2" s="338"/>
      <c r="F2" s="338"/>
    </row>
    <row r="3" spans="1:6" ht="19.5" thickBot="1">
      <c r="A3" s="334"/>
      <c r="B3" s="334"/>
      <c r="C3" s="334"/>
      <c r="D3" s="334"/>
      <c r="E3" s="334"/>
      <c r="F3" s="334"/>
    </row>
    <row r="4" spans="1:6" ht="63.75" thickBot="1">
      <c r="A4" s="2" t="s">
        <v>3</v>
      </c>
      <c r="B4" s="3" t="s">
        <v>4</v>
      </c>
      <c r="C4" s="4" t="s">
        <v>5</v>
      </c>
      <c r="D4" s="5" t="s">
        <v>6</v>
      </c>
      <c r="E4" s="5" t="s">
        <v>7</v>
      </c>
      <c r="F4" s="5" t="s">
        <v>52</v>
      </c>
    </row>
    <row r="5" spans="1:6" ht="15.75">
      <c r="A5" s="6" t="s">
        <v>10</v>
      </c>
      <c r="B5" s="7" t="s">
        <v>11</v>
      </c>
      <c r="C5" s="8"/>
      <c r="D5" s="9"/>
      <c r="E5" s="9"/>
      <c r="F5" s="9"/>
    </row>
    <row r="6" spans="1:6" ht="15.75">
      <c r="A6" s="10" t="s">
        <v>37</v>
      </c>
      <c r="B6" s="22" t="s">
        <v>57</v>
      </c>
      <c r="C6" s="13">
        <v>2019</v>
      </c>
      <c r="D6" s="12">
        <v>0.4</v>
      </c>
      <c r="E6" s="249">
        <f>SUM('[7]Приложение 1_2019 год'!$F$7:$F$32)*1000</f>
        <v>3326</v>
      </c>
      <c r="F6" s="250">
        <f>SUM('[7]Приложение 1_2019 год'!$G$7:$G$32)</f>
        <v>245</v>
      </c>
    </row>
    <row r="7" spans="1:6" ht="15.75">
      <c r="A7" s="10" t="s">
        <v>72</v>
      </c>
      <c r="B7" s="22" t="s">
        <v>14</v>
      </c>
      <c r="C7" s="13">
        <v>2019</v>
      </c>
      <c r="D7" s="12">
        <v>0.4</v>
      </c>
      <c r="E7" s="249">
        <f>SUM('[7]Приложение 1_2019 год'!$F$34:$F$52)*1000</f>
        <v>4672</v>
      </c>
      <c r="F7" s="250">
        <f>SUM('[7]Приложение 1_2019 год'!$G$34:$G$52)</f>
        <v>520</v>
      </c>
    </row>
    <row r="8" spans="1:6" ht="32.25" thickBot="1">
      <c r="A8" s="10" t="s">
        <v>73</v>
      </c>
      <c r="B8" s="14" t="s">
        <v>14</v>
      </c>
      <c r="C8" s="13">
        <v>2019</v>
      </c>
      <c r="D8" s="16" t="s">
        <v>58</v>
      </c>
      <c r="E8" s="249">
        <f>'[6]Приложение 1_2019 год'!$F$47*1000</f>
        <v>30</v>
      </c>
      <c r="F8" s="250">
        <v>15</v>
      </c>
    </row>
    <row r="9" spans="1:6" ht="15.75">
      <c r="A9" s="6" t="s">
        <v>15</v>
      </c>
      <c r="B9" s="7" t="s">
        <v>16</v>
      </c>
      <c r="C9" s="8"/>
      <c r="D9" s="9"/>
      <c r="E9" s="244"/>
      <c r="F9" s="244"/>
    </row>
    <row r="10" spans="1:6" ht="31.5">
      <c r="A10" s="10" t="s">
        <v>240</v>
      </c>
      <c r="B10" s="14" t="s">
        <v>17</v>
      </c>
      <c r="C10" s="13">
        <v>2019</v>
      </c>
      <c r="D10" s="12">
        <v>0.4</v>
      </c>
      <c r="E10" s="121">
        <f>SUM('[6]Приложение 1_2019 год'!$F$68:$F$71)*1000</f>
        <v>273</v>
      </c>
      <c r="F10" s="250">
        <f>SUM('[7]Приложение 1_2019 год'!$G$70:$G$73)</f>
        <v>218</v>
      </c>
    </row>
    <row r="11" spans="1:6" ht="31.5">
      <c r="A11" s="10" t="s">
        <v>239</v>
      </c>
      <c r="B11" s="14" t="s">
        <v>19</v>
      </c>
      <c r="C11" s="13">
        <v>2019</v>
      </c>
      <c r="D11" s="12">
        <v>0.4</v>
      </c>
      <c r="E11" s="121">
        <f>SUM('[6]Приложение 1_2019 год'!$F$60:$F$66)*1000</f>
        <v>1028</v>
      </c>
      <c r="F11" s="255">
        <f>SUM('[7]Приложение 1_2019 год'!$G$62:$G$68)</f>
        <v>903.25</v>
      </c>
    </row>
    <row r="12" spans="1:6" ht="15.75">
      <c r="A12" s="10" t="s">
        <v>238</v>
      </c>
      <c r="B12" s="14" t="s">
        <v>20</v>
      </c>
      <c r="C12" s="13">
        <v>2019</v>
      </c>
      <c r="D12" s="12">
        <v>0.4</v>
      </c>
      <c r="E12" s="121">
        <f>SUM('[6]Приложение 1_2019 год'!$F$55:$F$58)*1000</f>
        <v>2559</v>
      </c>
      <c r="F12" s="250">
        <f>SUM('[7]Приложение 1_2019 год'!$G$57:$G$60)</f>
        <v>675</v>
      </c>
    </row>
    <row r="13" spans="1:6" ht="31.5">
      <c r="A13" s="10" t="s">
        <v>240</v>
      </c>
      <c r="B13" s="14" t="s">
        <v>14</v>
      </c>
      <c r="C13" s="13">
        <v>2019</v>
      </c>
      <c r="D13" s="16" t="s">
        <v>58</v>
      </c>
      <c r="E13" s="121">
        <f>SUM('[6]Приложение 1_2019 год'!$F$73:$F$74)*1000</f>
        <v>480</v>
      </c>
      <c r="F13" s="255">
        <f>SUM('[7]Приложение 1_2019 год'!$G$75:$G$76)</f>
        <v>30</v>
      </c>
    </row>
    <row r="14" spans="1:6" ht="15.75">
      <c r="A14" s="10" t="s">
        <v>239</v>
      </c>
      <c r="B14" s="14" t="s">
        <v>21</v>
      </c>
      <c r="C14" s="13">
        <v>2019</v>
      </c>
      <c r="D14" s="16" t="s">
        <v>58</v>
      </c>
      <c r="E14" s="121">
        <f>SUM('[6]Приложение 1_2019 год'!$F$76:$F$80)*1000</f>
        <v>2856.9999999999995</v>
      </c>
      <c r="F14" s="250">
        <f>SUM('[7]Приложение 1_2019 год'!$G$78:$G$82)</f>
        <v>1890</v>
      </c>
    </row>
    <row r="15" spans="1:6" ht="31.5">
      <c r="A15" s="10" t="s">
        <v>244</v>
      </c>
      <c r="B15" s="14" t="s">
        <v>14</v>
      </c>
      <c r="C15" s="13">
        <v>2019</v>
      </c>
      <c r="D15" s="16">
        <v>0.4</v>
      </c>
      <c r="E15" s="121"/>
      <c r="F15" s="121"/>
    </row>
    <row r="16" spans="1:6" ht="31.5">
      <c r="A16" s="10" t="s">
        <v>241</v>
      </c>
      <c r="B16" s="14" t="s">
        <v>19</v>
      </c>
      <c r="C16" s="13">
        <v>2019</v>
      </c>
      <c r="D16" s="12" t="s">
        <v>44</v>
      </c>
      <c r="E16" s="121"/>
      <c r="F16" s="121"/>
    </row>
    <row r="17" spans="1:6" ht="16.5" thickBot="1">
      <c r="A17" s="10" t="s">
        <v>242</v>
      </c>
      <c r="B17" s="14" t="s">
        <v>20</v>
      </c>
      <c r="C17" s="13">
        <v>2019</v>
      </c>
      <c r="D17" s="12">
        <v>0.4</v>
      </c>
      <c r="E17" s="121"/>
      <c r="F17" s="121"/>
    </row>
    <row r="18" spans="1:6" ht="15.75">
      <c r="A18" s="6" t="s">
        <v>24</v>
      </c>
      <c r="B18" s="7" t="s">
        <v>25</v>
      </c>
      <c r="C18" s="8" t="s">
        <v>50</v>
      </c>
      <c r="D18" s="9" t="s">
        <v>50</v>
      </c>
      <c r="E18" s="244" t="s">
        <v>50</v>
      </c>
      <c r="F18" s="244" t="s">
        <v>50</v>
      </c>
    </row>
    <row r="19" spans="1:6" ht="15.75">
      <c r="A19" s="10" t="s">
        <v>28</v>
      </c>
      <c r="B19" s="11" t="s">
        <v>29</v>
      </c>
      <c r="C19" s="13">
        <v>2019</v>
      </c>
      <c r="D19" s="12" t="s">
        <v>51</v>
      </c>
      <c r="E19" s="249"/>
      <c r="F19" s="249">
        <f>SUM('[7]Приложение 1_2019 год'!$G$92:$G$103)</f>
        <v>1223.65</v>
      </c>
    </row>
    <row r="20" spans="1:6" ht="16.5" thickBot="1">
      <c r="A20" s="10" t="s">
        <v>77</v>
      </c>
      <c r="B20" s="11" t="s">
        <v>143</v>
      </c>
      <c r="C20" s="13">
        <v>2019</v>
      </c>
      <c r="D20" s="12" t="s">
        <v>51</v>
      </c>
      <c r="E20" s="249"/>
      <c r="F20" s="249">
        <f>SUM('[7]Приложение 1_2019 год'!$G$105:$G$110)</f>
        <v>1204</v>
      </c>
    </row>
    <row r="21" spans="1:6" ht="48" thickBot="1">
      <c r="A21" s="29" t="s">
        <v>32</v>
      </c>
      <c r="B21" s="30" t="s">
        <v>33</v>
      </c>
      <c r="C21" s="31" t="s">
        <v>50</v>
      </c>
      <c r="D21" s="32" t="s">
        <v>50</v>
      </c>
      <c r="E21" s="32" t="s">
        <v>50</v>
      </c>
      <c r="F21" s="32" t="s">
        <v>50</v>
      </c>
    </row>
    <row r="22" spans="1:6" ht="48" thickBot="1">
      <c r="A22" s="34" t="s">
        <v>34</v>
      </c>
      <c r="B22" s="35" t="s">
        <v>35</v>
      </c>
      <c r="C22" s="36" t="s">
        <v>50</v>
      </c>
      <c r="D22" s="37" t="s">
        <v>50</v>
      </c>
      <c r="E22" s="37" t="s">
        <v>50</v>
      </c>
      <c r="F22" s="37" t="s">
        <v>50</v>
      </c>
    </row>
  </sheetData>
  <sheetProtection/>
  <mergeCells count="3">
    <mergeCell ref="A1:F1"/>
    <mergeCell ref="A2:F2"/>
    <mergeCell ref="A3:F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1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tabSelected="1" zoomScalePageLayoutView="0" workbookViewId="0" topLeftCell="A1">
      <selection activeCell="L8" sqref="L8"/>
    </sheetView>
  </sheetViews>
  <sheetFormatPr defaultColWidth="9.140625" defaultRowHeight="15"/>
  <cols>
    <col min="1" max="1" width="9.57421875" style="0" customWidth="1"/>
    <col min="2" max="2" width="46.8515625" style="0" customWidth="1"/>
    <col min="4" max="4" width="13.7109375" style="0" customWidth="1"/>
    <col min="5" max="5" width="22.00390625" style="0" customWidth="1"/>
    <col min="6" max="6" width="19.28125" style="0" customWidth="1"/>
  </cols>
  <sheetData>
    <row r="1" spans="1:6" ht="103.5" customHeight="1">
      <c r="A1" s="337" t="s">
        <v>54</v>
      </c>
      <c r="B1" s="337"/>
      <c r="C1" s="337"/>
      <c r="D1" s="337"/>
      <c r="E1" s="337"/>
      <c r="F1" s="337"/>
    </row>
    <row r="2" spans="1:6" ht="36.75" customHeight="1">
      <c r="A2" s="338" t="s">
        <v>2</v>
      </c>
      <c r="B2" s="338"/>
      <c r="C2" s="338"/>
      <c r="D2" s="338"/>
      <c r="E2" s="338"/>
      <c r="F2" s="338"/>
    </row>
    <row r="3" spans="1:6" ht="19.5" thickBot="1">
      <c r="A3" s="334"/>
      <c r="B3" s="334"/>
      <c r="C3" s="334"/>
      <c r="D3" s="334"/>
      <c r="E3" s="334"/>
      <c r="F3" s="334"/>
    </row>
    <row r="4" spans="1:6" ht="63.75" thickBot="1">
      <c r="A4" s="2" t="s">
        <v>3</v>
      </c>
      <c r="B4" s="3" t="s">
        <v>4</v>
      </c>
      <c r="C4" s="4" t="s">
        <v>5</v>
      </c>
      <c r="D4" s="5" t="s">
        <v>6</v>
      </c>
      <c r="E4" s="5" t="s">
        <v>7</v>
      </c>
      <c r="F4" s="5" t="s">
        <v>52</v>
      </c>
    </row>
    <row r="5" spans="1:6" ht="15.75">
      <c r="A5" s="6" t="s">
        <v>10</v>
      </c>
      <c r="B5" s="7" t="s">
        <v>11</v>
      </c>
      <c r="C5" s="8"/>
      <c r="D5" s="9"/>
      <c r="E5" s="9"/>
      <c r="F5" s="9"/>
    </row>
    <row r="6" spans="1:6" ht="15.75">
      <c r="A6" s="10" t="s">
        <v>37</v>
      </c>
      <c r="B6" s="22" t="s">
        <v>57</v>
      </c>
      <c r="C6" s="13">
        <v>2020</v>
      </c>
      <c r="D6" s="12">
        <v>0.4</v>
      </c>
      <c r="E6" s="249">
        <f>'Приложение №1 2020'!E9</f>
        <v>5660.000000000001</v>
      </c>
      <c r="F6" s="250">
        <f>'Приложение №1 2020'!F9</f>
        <v>1070.1</v>
      </c>
    </row>
    <row r="7" spans="1:6" ht="15.75">
      <c r="A7" s="10" t="s">
        <v>72</v>
      </c>
      <c r="B7" s="22" t="s">
        <v>14</v>
      </c>
      <c r="C7" s="13">
        <v>2020</v>
      </c>
      <c r="D7" s="12">
        <v>0.4</v>
      </c>
      <c r="E7" s="249">
        <f>'Приложение №1 2020'!E10</f>
        <v>6100.000000000001</v>
      </c>
      <c r="F7" s="250">
        <f>'Приложение №1 2020'!F10</f>
        <v>1188.05</v>
      </c>
    </row>
    <row r="8" spans="1:6" ht="32.25" thickBot="1">
      <c r="A8" s="10" t="s">
        <v>73</v>
      </c>
      <c r="B8" s="14" t="s">
        <v>14</v>
      </c>
      <c r="C8" s="13">
        <v>2020</v>
      </c>
      <c r="D8" s="16" t="s">
        <v>58</v>
      </c>
      <c r="E8" s="249">
        <f>'Приложение №1 2020'!E11</f>
        <v>610</v>
      </c>
      <c r="F8" s="250">
        <f>'Приложение №1 2020'!F11</f>
        <v>50</v>
      </c>
    </row>
    <row r="9" spans="1:6" ht="15.75">
      <c r="A9" s="6" t="s">
        <v>15</v>
      </c>
      <c r="B9" s="7" t="s">
        <v>16</v>
      </c>
      <c r="C9" s="8"/>
      <c r="D9" s="9"/>
      <c r="E9" s="244"/>
      <c r="F9" s="244"/>
    </row>
    <row r="10" spans="1:6" ht="15.75">
      <c r="A10" s="10" t="str">
        <f>'Приложение №1 2020'!A13</f>
        <v>2.1.1.2.1</v>
      </c>
      <c r="B10" s="14" t="str">
        <f>'Приложение №1 2020'!B13</f>
        <v>свыше 50 квадратных мм включительно</v>
      </c>
      <c r="C10" s="13">
        <v>2020</v>
      </c>
      <c r="D10" s="12">
        <v>0.4</v>
      </c>
      <c r="E10" s="121">
        <f>'Приложение №1 2020'!E13</f>
        <v>53</v>
      </c>
      <c r="F10" s="250">
        <f>'Приложение №1 2020'!F13</f>
        <v>378</v>
      </c>
    </row>
    <row r="11" spans="1:6" ht="31.5">
      <c r="A11" s="10" t="s">
        <v>240</v>
      </c>
      <c r="B11" s="14" t="str">
        <f>'Приложение №1 2020'!B14</f>
        <v>свыше 50 до 100 квадратных мм включительно</v>
      </c>
      <c r="C11" s="13">
        <v>2020</v>
      </c>
      <c r="D11" s="12">
        <v>0.4</v>
      </c>
      <c r="E11" s="121">
        <f>'Приложение №1 2020'!E14</f>
        <v>490.0000000000001</v>
      </c>
      <c r="F11" s="121">
        <f>'Приложение №1 2020'!F14</f>
        <v>1080</v>
      </c>
    </row>
    <row r="12" spans="1:6" ht="31.5">
      <c r="A12" s="10" t="s">
        <v>239</v>
      </c>
      <c r="B12" s="14" t="s">
        <v>19</v>
      </c>
      <c r="C12" s="13">
        <v>2020</v>
      </c>
      <c r="D12" s="12">
        <v>0.4</v>
      </c>
      <c r="E12" s="121">
        <f>'Приложение №1 2020'!E15</f>
        <v>1988.9999999999998</v>
      </c>
      <c r="F12" s="121">
        <f>'Приложение №1 2020'!F15</f>
        <v>1834.63</v>
      </c>
    </row>
    <row r="13" spans="1:6" ht="15.75">
      <c r="A13" s="10" t="s">
        <v>238</v>
      </c>
      <c r="B13" s="14" t="s">
        <v>20</v>
      </c>
      <c r="C13" s="13">
        <v>2020</v>
      </c>
      <c r="D13" s="12">
        <v>0.4</v>
      </c>
      <c r="E13" s="121">
        <f>'Приложение №1 2020'!E16</f>
        <v>0</v>
      </c>
      <c r="F13" s="121">
        <f>'Приложение №1 2020'!F16</f>
        <v>0</v>
      </c>
    </row>
    <row r="14" spans="1:6" ht="31.5">
      <c r="A14" s="10" t="s">
        <v>240</v>
      </c>
      <c r="B14" s="14" t="s">
        <v>14</v>
      </c>
      <c r="C14" s="13">
        <v>2020</v>
      </c>
      <c r="D14" s="16" t="s">
        <v>58</v>
      </c>
      <c r="E14" s="121">
        <f>'Приложение №1 2020'!E17</f>
        <v>162</v>
      </c>
      <c r="F14" s="121">
        <f>'Приложение №1 2020'!F17</f>
        <v>270</v>
      </c>
    </row>
    <row r="15" spans="1:6" ht="15.75">
      <c r="A15" s="10" t="s">
        <v>239</v>
      </c>
      <c r="B15" s="14" t="s">
        <v>21</v>
      </c>
      <c r="C15" s="13">
        <v>2020</v>
      </c>
      <c r="D15" s="16" t="s">
        <v>58</v>
      </c>
      <c r="E15" s="121">
        <f>'Приложение №1 2020'!E18</f>
        <v>711</v>
      </c>
      <c r="F15" s="121">
        <f>'Приложение №1 2020'!F18</f>
        <v>298</v>
      </c>
    </row>
    <row r="16" spans="1:6" ht="31.5">
      <c r="A16" s="10" t="s">
        <v>244</v>
      </c>
      <c r="B16" s="14" t="s">
        <v>14</v>
      </c>
      <c r="C16" s="13">
        <v>2020</v>
      </c>
      <c r="D16" s="16">
        <v>0.4</v>
      </c>
      <c r="E16" s="121"/>
      <c r="F16" s="121"/>
    </row>
    <row r="17" spans="1:6" ht="31.5">
      <c r="A17" s="10" t="s">
        <v>241</v>
      </c>
      <c r="B17" s="14" t="s">
        <v>19</v>
      </c>
      <c r="C17" s="13">
        <v>2020</v>
      </c>
      <c r="D17" s="12" t="s">
        <v>44</v>
      </c>
      <c r="E17" s="121"/>
      <c r="F17" s="121"/>
    </row>
    <row r="18" spans="1:6" ht="16.5" thickBot="1">
      <c r="A18" s="10" t="s">
        <v>242</v>
      </c>
      <c r="B18" s="14" t="s">
        <v>20</v>
      </c>
      <c r="C18" s="13">
        <v>2020</v>
      </c>
      <c r="D18" s="12">
        <v>0.4</v>
      </c>
      <c r="E18" s="121"/>
      <c r="F18" s="121"/>
    </row>
    <row r="19" spans="1:6" ht="15.75">
      <c r="A19" s="6" t="s">
        <v>26</v>
      </c>
      <c r="B19" s="7" t="s">
        <v>25</v>
      </c>
      <c r="C19" s="8" t="s">
        <v>50</v>
      </c>
      <c r="D19" s="9" t="s">
        <v>50</v>
      </c>
      <c r="E19" s="244" t="s">
        <v>50</v>
      </c>
      <c r="F19" s="244" t="s">
        <v>50</v>
      </c>
    </row>
    <row r="20" spans="1:6" ht="32.25" thickBot="1">
      <c r="A20" s="10" t="str">
        <f>'Приложение №1 2020'!A23</f>
        <v>4.3.2.</v>
      </c>
      <c r="B20" s="14" t="str">
        <f>'Приложение №1 2020'!B23</f>
        <v>установка линейной ячейки номинальным током от 1000А и выше</v>
      </c>
      <c r="C20" s="13">
        <v>2020</v>
      </c>
      <c r="D20" s="12" t="s">
        <v>51</v>
      </c>
      <c r="E20" s="249">
        <f>'Приложение №1 2020'!E23</f>
        <v>0</v>
      </c>
      <c r="F20" s="249">
        <f>'Приложение №1 2020'!F23</f>
        <v>150</v>
      </c>
    </row>
    <row r="21" spans="1:6" ht="31.5">
      <c r="A21" s="241" t="s">
        <v>32</v>
      </c>
      <c r="B21" s="242" t="s">
        <v>599</v>
      </c>
      <c r="C21" s="243" t="s">
        <v>50</v>
      </c>
      <c r="D21" s="244" t="s">
        <v>50</v>
      </c>
      <c r="E21" s="244" t="s">
        <v>50</v>
      </c>
      <c r="F21" s="245" t="s">
        <v>50</v>
      </c>
    </row>
    <row r="22" spans="1:6" ht="15.75">
      <c r="A22" s="257" t="s">
        <v>671</v>
      </c>
      <c r="B22" s="258" t="s">
        <v>600</v>
      </c>
      <c r="C22" s="248">
        <v>2020</v>
      </c>
      <c r="D22" s="249" t="s">
        <v>51</v>
      </c>
      <c r="E22" s="249">
        <f>'Приложение №1 2020'!E26</f>
        <v>0</v>
      </c>
      <c r="F22" s="249">
        <f>'Приложение №1 2020'!F26</f>
        <v>638</v>
      </c>
    </row>
    <row r="23" spans="1:6" ht="16.5" thickBot="1">
      <c r="A23" s="463" t="s">
        <v>654</v>
      </c>
      <c r="B23" s="464" t="s">
        <v>143</v>
      </c>
      <c r="C23" s="465">
        <v>2020</v>
      </c>
      <c r="D23" s="466" t="s">
        <v>51</v>
      </c>
      <c r="E23" s="249">
        <f>'Приложение №1 2020'!E27</f>
        <v>0</v>
      </c>
      <c r="F23" s="249">
        <f>'Приложение №1 2020'!F27</f>
        <v>100</v>
      </c>
    </row>
    <row r="24" spans="1:6" ht="48" thickBot="1">
      <c r="A24" s="34" t="s">
        <v>34</v>
      </c>
      <c r="B24" s="35" t="s">
        <v>33</v>
      </c>
      <c r="C24" s="36"/>
      <c r="D24" s="37" t="s">
        <v>50</v>
      </c>
      <c r="E24" s="467"/>
      <c r="F24" s="468"/>
    </row>
    <row r="25" spans="1:6" ht="48" thickBot="1">
      <c r="A25" s="34" t="s">
        <v>673</v>
      </c>
      <c r="B25" s="35" t="s">
        <v>35</v>
      </c>
      <c r="C25" s="36" t="s">
        <v>50</v>
      </c>
      <c r="D25" s="37" t="s">
        <v>50</v>
      </c>
      <c r="E25" s="467"/>
      <c r="F25" s="468"/>
    </row>
    <row r="26" spans="1:6" ht="32.25" thickBot="1">
      <c r="A26" s="34" t="s">
        <v>674</v>
      </c>
      <c r="B26" s="35" t="s">
        <v>672</v>
      </c>
      <c r="C26" s="36">
        <f>C23</f>
        <v>2020</v>
      </c>
      <c r="D26" s="37" t="s">
        <v>50</v>
      </c>
      <c r="E26" s="249">
        <f>'Приложение №1 2020'!E30</f>
        <v>47</v>
      </c>
      <c r="F26" s="468"/>
    </row>
  </sheetData>
  <sheetProtection/>
  <mergeCells count="3">
    <mergeCell ref="A1:F1"/>
    <mergeCell ref="A2:F2"/>
    <mergeCell ref="A3:F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zoomScale="80" zoomScaleNormal="80" zoomScalePageLayoutView="0" workbookViewId="0" topLeftCell="A1">
      <selection activeCell="D34" sqref="D34"/>
    </sheetView>
  </sheetViews>
  <sheetFormatPr defaultColWidth="9.140625" defaultRowHeight="15"/>
  <cols>
    <col min="1" max="1" width="12.7109375" style="1" customWidth="1"/>
    <col min="2" max="2" width="53.140625" style="1" customWidth="1"/>
    <col min="3" max="3" width="9.57421875" style="1" customWidth="1"/>
    <col min="4" max="4" width="15.28125" style="1" customWidth="1"/>
    <col min="5" max="5" width="21.140625" style="1" customWidth="1"/>
    <col min="6" max="6" width="15.57421875" style="1" customWidth="1"/>
    <col min="7" max="7" width="20.28125" style="1" customWidth="1"/>
    <col min="8" max="16384" width="9.140625" style="1" customWidth="1"/>
  </cols>
  <sheetData>
    <row r="1" spans="1:7" ht="15.75">
      <c r="A1" s="335" t="s">
        <v>0</v>
      </c>
      <c r="B1" s="335"/>
      <c r="C1" s="335"/>
      <c r="D1" s="335"/>
      <c r="E1" s="335"/>
      <c r="F1" s="335"/>
      <c r="G1" s="335"/>
    </row>
    <row r="2" spans="1:7" ht="15.75">
      <c r="A2" s="335" t="s">
        <v>1</v>
      </c>
      <c r="B2" s="335"/>
      <c r="C2" s="335"/>
      <c r="D2" s="335"/>
      <c r="E2" s="335"/>
      <c r="F2" s="335"/>
      <c r="G2" s="335"/>
    </row>
    <row r="3" spans="1:7" ht="15.75">
      <c r="A3" s="336"/>
      <c r="B3" s="336"/>
      <c r="C3" s="336"/>
      <c r="D3" s="336"/>
      <c r="E3" s="336"/>
      <c r="F3" s="336"/>
      <c r="G3" s="336"/>
    </row>
    <row r="4" spans="1:7" ht="62.25" customHeight="1">
      <c r="A4" s="337" t="s">
        <v>54</v>
      </c>
      <c r="B4" s="337"/>
      <c r="C4" s="337"/>
      <c r="D4" s="337"/>
      <c r="E4" s="337"/>
      <c r="F4" s="337"/>
      <c r="G4" s="337"/>
    </row>
    <row r="5" spans="1:7" ht="27.75" customHeight="1">
      <c r="A5" s="338" t="s">
        <v>2</v>
      </c>
      <c r="B5" s="338"/>
      <c r="C5" s="338"/>
      <c r="D5" s="338"/>
      <c r="E5" s="338"/>
      <c r="F5" s="338"/>
      <c r="G5" s="338"/>
    </row>
    <row r="6" spans="1:7" ht="19.5" thickBot="1">
      <c r="A6" s="334"/>
      <c r="B6" s="334"/>
      <c r="C6" s="334"/>
      <c r="D6" s="334"/>
      <c r="E6" s="334"/>
      <c r="F6" s="334"/>
      <c r="G6" s="334"/>
    </row>
    <row r="7" spans="1:7" ht="64.5" customHeight="1" thickBot="1">
      <c r="A7" s="2" t="s">
        <v>3</v>
      </c>
      <c r="B7" s="3" t="s">
        <v>4</v>
      </c>
      <c r="C7" s="4" t="s">
        <v>5</v>
      </c>
      <c r="D7" s="5" t="s">
        <v>6</v>
      </c>
      <c r="E7" s="5" t="s">
        <v>7</v>
      </c>
      <c r="F7" s="5" t="s">
        <v>52</v>
      </c>
      <c r="G7" s="3" t="s">
        <v>9</v>
      </c>
    </row>
    <row r="8" spans="1:7" ht="15.75">
      <c r="A8" s="6" t="s">
        <v>10</v>
      </c>
      <c r="B8" s="7" t="s">
        <v>11</v>
      </c>
      <c r="C8" s="8"/>
      <c r="D8" s="9"/>
      <c r="E8" s="9"/>
      <c r="F8" s="9"/>
      <c r="G8" s="21"/>
    </row>
    <row r="9" spans="1:7" ht="15.75">
      <c r="A9" s="10" t="s">
        <v>37</v>
      </c>
      <c r="B9" s="22" t="s">
        <v>12</v>
      </c>
      <c r="C9" s="13">
        <v>2016</v>
      </c>
      <c r="D9" s="12">
        <v>0.4</v>
      </c>
      <c r="E9" s="12">
        <v>1025</v>
      </c>
      <c r="F9" s="12">
        <v>63</v>
      </c>
      <c r="G9" s="25">
        <f>378768.1/1000</f>
        <v>378.7681</v>
      </c>
    </row>
    <row r="10" spans="1:7" ht="15.75">
      <c r="A10" s="10" t="s">
        <v>72</v>
      </c>
      <c r="B10" s="22" t="s">
        <v>13</v>
      </c>
      <c r="C10" s="13">
        <v>2016</v>
      </c>
      <c r="D10" s="12">
        <v>0.4</v>
      </c>
      <c r="E10" s="12">
        <v>310</v>
      </c>
      <c r="F10" s="12">
        <v>81</v>
      </c>
      <c r="G10" s="25">
        <f>135125.45/1000</f>
        <v>135.12545</v>
      </c>
    </row>
    <row r="11" spans="1:7" ht="15.75">
      <c r="A11" s="10" t="s">
        <v>73</v>
      </c>
      <c r="B11" s="22" t="s">
        <v>14</v>
      </c>
      <c r="C11" s="13">
        <v>2016</v>
      </c>
      <c r="D11" s="12">
        <v>0.4</v>
      </c>
      <c r="E11" s="12">
        <v>3040</v>
      </c>
      <c r="F11" s="12">
        <v>127</v>
      </c>
      <c r="G11" s="25">
        <f>1880521.58/1000</f>
        <v>1880.52158</v>
      </c>
    </row>
    <row r="12" spans="1:7" ht="16.5" thickBot="1">
      <c r="A12" s="10" t="s">
        <v>73</v>
      </c>
      <c r="B12" s="14" t="s">
        <v>14</v>
      </c>
      <c r="C12" s="15">
        <v>2016</v>
      </c>
      <c r="D12" s="16" t="s">
        <v>58</v>
      </c>
      <c r="E12" s="45">
        <v>1302.3333333333333</v>
      </c>
      <c r="F12" s="16">
        <v>1260</v>
      </c>
      <c r="G12" s="27">
        <f>1091906.88/1000</f>
        <v>1091.90688</v>
      </c>
    </row>
    <row r="13" spans="1:7" ht="15.75">
      <c r="A13" s="6" t="s">
        <v>15</v>
      </c>
      <c r="B13" s="7" t="s">
        <v>16</v>
      </c>
      <c r="C13" s="8"/>
      <c r="D13" s="9"/>
      <c r="E13" s="9"/>
      <c r="F13" s="9"/>
      <c r="G13" s="26"/>
    </row>
    <row r="14" spans="1:7" ht="15.75">
      <c r="A14" s="10" t="s">
        <v>40</v>
      </c>
      <c r="B14" s="14" t="s">
        <v>17</v>
      </c>
      <c r="C14" s="15">
        <v>2016</v>
      </c>
      <c r="D14" s="12">
        <v>0.4</v>
      </c>
      <c r="E14" s="16">
        <v>303</v>
      </c>
      <c r="F14" s="16">
        <v>121</v>
      </c>
      <c r="G14" s="27">
        <f>391029.67/1000</f>
        <v>391.02967</v>
      </c>
    </row>
    <row r="15" spans="1:7" ht="15.75">
      <c r="A15" s="10" t="s">
        <v>42</v>
      </c>
      <c r="B15" s="14" t="s">
        <v>19</v>
      </c>
      <c r="C15" s="15">
        <v>2016</v>
      </c>
      <c r="D15" s="12">
        <v>0.4</v>
      </c>
      <c r="E15" s="16">
        <v>1368</v>
      </c>
      <c r="F15" s="16">
        <v>163</v>
      </c>
      <c r="G15" s="27">
        <f>2229813.94/1000</f>
        <v>2229.81394</v>
      </c>
    </row>
    <row r="16" spans="1:7" ht="15.75">
      <c r="A16" s="10" t="s">
        <v>43</v>
      </c>
      <c r="B16" s="14" t="s">
        <v>20</v>
      </c>
      <c r="C16" s="15">
        <v>2016</v>
      </c>
      <c r="D16" s="12">
        <v>0.4</v>
      </c>
      <c r="E16" s="16">
        <v>1413</v>
      </c>
      <c r="F16" s="16">
        <v>226</v>
      </c>
      <c r="G16" s="27">
        <f>2214949.95/1000</f>
        <v>2214.94995</v>
      </c>
    </row>
    <row r="17" spans="1:7" ht="15.75">
      <c r="A17" s="10" t="s">
        <v>74</v>
      </c>
      <c r="B17" s="14" t="s">
        <v>14</v>
      </c>
      <c r="C17" s="15">
        <v>2016</v>
      </c>
      <c r="D17" s="16" t="s">
        <v>58</v>
      </c>
      <c r="E17" s="16">
        <v>110</v>
      </c>
      <c r="F17" s="16">
        <v>930</v>
      </c>
      <c r="G17" s="27">
        <f>194529.34/1000</f>
        <v>194.52934</v>
      </c>
    </row>
    <row r="18" spans="1:7" ht="15.75">
      <c r="A18" s="10" t="s">
        <v>45</v>
      </c>
      <c r="B18" s="14" t="s">
        <v>21</v>
      </c>
      <c r="C18" s="15">
        <v>2016</v>
      </c>
      <c r="D18" s="16" t="s">
        <v>58</v>
      </c>
      <c r="E18" s="16">
        <v>396</v>
      </c>
      <c r="F18" s="16">
        <v>1560</v>
      </c>
      <c r="G18" s="27">
        <f>458161.25/1000</f>
        <v>458.16125</v>
      </c>
    </row>
    <row r="19" spans="1:7" ht="15.75">
      <c r="A19" s="10" t="s">
        <v>75</v>
      </c>
      <c r="B19" s="14" t="s">
        <v>23</v>
      </c>
      <c r="C19" s="15">
        <v>2016</v>
      </c>
      <c r="D19" s="12">
        <v>0.4</v>
      </c>
      <c r="E19" s="16">
        <v>48</v>
      </c>
      <c r="F19" s="16">
        <v>163</v>
      </c>
      <c r="G19" s="27">
        <f>98262.51/1000</f>
        <v>98.26250999999999</v>
      </c>
    </row>
    <row r="20" spans="1:7" ht="16.5" thickBot="1">
      <c r="A20" s="10" t="s">
        <v>76</v>
      </c>
      <c r="B20" s="14" t="s">
        <v>20</v>
      </c>
      <c r="C20" s="15">
        <v>2016</v>
      </c>
      <c r="D20" s="12">
        <v>0.4</v>
      </c>
      <c r="E20" s="16">
        <v>515</v>
      </c>
      <c r="F20" s="16">
        <v>226</v>
      </c>
      <c r="G20" s="27">
        <f>750539.68/1000</f>
        <v>750.5396800000001</v>
      </c>
    </row>
    <row r="21" spans="1:7" ht="15.75">
      <c r="A21" s="6" t="s">
        <v>24</v>
      </c>
      <c r="B21" s="7" t="s">
        <v>25</v>
      </c>
      <c r="C21" s="8" t="s">
        <v>50</v>
      </c>
      <c r="D21" s="9" t="s">
        <v>50</v>
      </c>
      <c r="E21" s="9" t="s">
        <v>50</v>
      </c>
      <c r="F21" s="9" t="s">
        <v>50</v>
      </c>
      <c r="G21" s="26" t="s">
        <v>50</v>
      </c>
    </row>
    <row r="22" spans="1:7" ht="15.75">
      <c r="A22" s="10" t="s">
        <v>28</v>
      </c>
      <c r="B22" s="11" t="s">
        <v>29</v>
      </c>
      <c r="C22" s="13">
        <v>2016</v>
      </c>
      <c r="D22" s="12" t="s">
        <v>51</v>
      </c>
      <c r="E22" s="12"/>
      <c r="F22" s="12">
        <v>200</v>
      </c>
      <c r="G22" s="25">
        <f>1098233.83/1000</f>
        <v>1098.2338300000001</v>
      </c>
    </row>
    <row r="23" spans="1:7" ht="16.5" thickBot="1">
      <c r="A23" s="10" t="s">
        <v>77</v>
      </c>
      <c r="B23" s="11" t="s">
        <v>78</v>
      </c>
      <c r="C23" s="13">
        <v>2016</v>
      </c>
      <c r="D23" s="12" t="s">
        <v>51</v>
      </c>
      <c r="E23" s="12"/>
      <c r="F23" s="12">
        <v>300</v>
      </c>
      <c r="G23" s="25">
        <f>479509.91/1000</f>
        <v>479.50991</v>
      </c>
    </row>
    <row r="24" spans="1:7" ht="48" thickBot="1">
      <c r="A24" s="29" t="s">
        <v>32</v>
      </c>
      <c r="B24" s="30" t="s">
        <v>33</v>
      </c>
      <c r="C24" s="31" t="s">
        <v>50</v>
      </c>
      <c r="D24" s="32" t="s">
        <v>50</v>
      </c>
      <c r="E24" s="32" t="s">
        <v>50</v>
      </c>
      <c r="F24" s="32" t="s">
        <v>50</v>
      </c>
      <c r="G24" s="33" t="s">
        <v>50</v>
      </c>
    </row>
    <row r="25" spans="1:7" s="23" customFormat="1" ht="32.25" thickBot="1">
      <c r="A25" s="34" t="s">
        <v>34</v>
      </c>
      <c r="B25" s="35" t="s">
        <v>35</v>
      </c>
      <c r="C25" s="36" t="s">
        <v>50</v>
      </c>
      <c r="D25" s="37" t="s">
        <v>50</v>
      </c>
      <c r="E25" s="37" t="s">
        <v>50</v>
      </c>
      <c r="F25" s="37" t="s">
        <v>50</v>
      </c>
      <c r="G25" s="38" t="s">
        <v>50</v>
      </c>
    </row>
    <row r="26" spans="1:2" s="23" customFormat="1" ht="15.75">
      <c r="A26" s="24"/>
      <c r="B26" s="23" t="s">
        <v>36</v>
      </c>
    </row>
    <row r="28" ht="15.75">
      <c r="A28" s="20"/>
    </row>
    <row r="29" ht="15.75">
      <c r="A29" s="20"/>
    </row>
  </sheetData>
  <sheetProtection/>
  <mergeCells count="6">
    <mergeCell ref="A5:G5"/>
    <mergeCell ref="A6:G6"/>
    <mergeCell ref="A1:G1"/>
    <mergeCell ref="A2:G2"/>
    <mergeCell ref="A3:G3"/>
    <mergeCell ref="A4:G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zoomScale="80" zoomScaleNormal="80" zoomScalePageLayoutView="0" workbookViewId="0" topLeftCell="A1">
      <selection activeCell="E9" sqref="E9:F23"/>
    </sheetView>
  </sheetViews>
  <sheetFormatPr defaultColWidth="9.140625" defaultRowHeight="15"/>
  <cols>
    <col min="1" max="1" width="9.57421875" style="0" customWidth="1"/>
    <col min="2" max="2" width="46.8515625" style="0" customWidth="1"/>
    <col min="4" max="4" width="13.7109375" style="0" customWidth="1"/>
    <col min="5" max="5" width="22.00390625" style="0" customWidth="1"/>
    <col min="6" max="6" width="19.28125" style="0" customWidth="1"/>
    <col min="7" max="7" width="16.8515625" style="0" customWidth="1"/>
  </cols>
  <sheetData>
    <row r="1" spans="1:7" ht="15.75">
      <c r="A1" s="335" t="s">
        <v>0</v>
      </c>
      <c r="B1" s="335"/>
      <c r="C1" s="335"/>
      <c r="D1" s="335"/>
      <c r="E1" s="335"/>
      <c r="F1" s="335"/>
      <c r="G1" s="335"/>
    </row>
    <row r="2" spans="1:7" ht="15.75">
      <c r="A2" s="335" t="s">
        <v>1</v>
      </c>
      <c r="B2" s="335"/>
      <c r="C2" s="335"/>
      <c r="D2" s="335"/>
      <c r="E2" s="335"/>
      <c r="F2" s="335"/>
      <c r="G2" s="335"/>
    </row>
    <row r="3" spans="1:7" ht="15.75">
      <c r="A3" s="336"/>
      <c r="B3" s="336"/>
      <c r="C3" s="336"/>
      <c r="D3" s="336"/>
      <c r="E3" s="336"/>
      <c r="F3" s="336"/>
      <c r="G3" s="336"/>
    </row>
    <row r="4" spans="1:7" ht="57.75" customHeight="1">
      <c r="A4" s="337" t="s">
        <v>54</v>
      </c>
      <c r="B4" s="337"/>
      <c r="C4" s="337"/>
      <c r="D4" s="337"/>
      <c r="E4" s="337"/>
      <c r="F4" s="337"/>
      <c r="G4" s="337"/>
    </row>
    <row r="5" spans="1:7" ht="15.75">
      <c r="A5" s="338" t="s">
        <v>2</v>
      </c>
      <c r="B5" s="338"/>
      <c r="C5" s="338"/>
      <c r="D5" s="338"/>
      <c r="E5" s="338"/>
      <c r="F5" s="338"/>
      <c r="G5" s="338"/>
    </row>
    <row r="6" spans="1:7" ht="19.5" thickBot="1">
      <c r="A6" s="334"/>
      <c r="B6" s="334"/>
      <c r="C6" s="334"/>
      <c r="D6" s="334"/>
      <c r="E6" s="334"/>
      <c r="F6" s="334"/>
      <c r="G6" s="334"/>
    </row>
    <row r="7" spans="1:7" ht="63.75" thickBot="1">
      <c r="A7" s="2" t="s">
        <v>3</v>
      </c>
      <c r="B7" s="3" t="s">
        <v>4</v>
      </c>
      <c r="C7" s="4" t="s">
        <v>5</v>
      </c>
      <c r="D7" s="5" t="s">
        <v>6</v>
      </c>
      <c r="E7" s="5" t="s">
        <v>7</v>
      </c>
      <c r="F7" s="5" t="s">
        <v>52</v>
      </c>
      <c r="G7" s="3" t="s">
        <v>9</v>
      </c>
    </row>
    <row r="8" spans="1:7" ht="15.75">
      <c r="A8" s="6" t="s">
        <v>10</v>
      </c>
      <c r="B8" s="7" t="s">
        <v>11</v>
      </c>
      <c r="C8" s="8"/>
      <c r="D8" s="9"/>
      <c r="E8" s="9"/>
      <c r="F8" s="9"/>
      <c r="G8" s="21"/>
    </row>
    <row r="9" spans="1:7" ht="15.75">
      <c r="A9" s="10" t="s">
        <v>37</v>
      </c>
      <c r="B9" s="22" t="s">
        <v>12</v>
      </c>
      <c r="C9" s="13">
        <v>2017</v>
      </c>
      <c r="D9" s="12">
        <v>0.4</v>
      </c>
      <c r="E9" s="12">
        <v>1484</v>
      </c>
      <c r="F9" s="12">
        <v>252</v>
      </c>
      <c r="G9" s="25">
        <v>452.7</v>
      </c>
    </row>
    <row r="10" spans="1:7" ht="15.75">
      <c r="A10" s="10" t="s">
        <v>72</v>
      </c>
      <c r="B10" s="22" t="s">
        <v>13</v>
      </c>
      <c r="C10" s="13">
        <v>2017</v>
      </c>
      <c r="D10" s="12">
        <v>0.4</v>
      </c>
      <c r="E10" s="12">
        <v>485</v>
      </c>
      <c r="F10" s="12">
        <v>110</v>
      </c>
      <c r="G10" s="25">
        <v>178.4</v>
      </c>
    </row>
    <row r="11" spans="1:7" ht="15.75">
      <c r="A11" s="10" t="s">
        <v>73</v>
      </c>
      <c r="B11" s="22" t="s">
        <v>14</v>
      </c>
      <c r="C11" s="13">
        <v>2017</v>
      </c>
      <c r="D11" s="12">
        <v>0.4</v>
      </c>
      <c r="E11" s="12">
        <v>3216</v>
      </c>
      <c r="F11" s="12">
        <v>225</v>
      </c>
      <c r="G11" s="25">
        <v>1475.72</v>
      </c>
    </row>
    <row r="12" spans="1:7" ht="32.25" thickBot="1">
      <c r="A12" s="10" t="s">
        <v>73</v>
      </c>
      <c r="B12" s="14" t="s">
        <v>14</v>
      </c>
      <c r="C12" s="13">
        <v>2017</v>
      </c>
      <c r="D12" s="16" t="s">
        <v>58</v>
      </c>
      <c r="E12" s="12">
        <v>300</v>
      </c>
      <c r="F12" s="16">
        <v>150</v>
      </c>
      <c r="G12" s="27">
        <v>174.15</v>
      </c>
    </row>
    <row r="13" spans="1:7" ht="15.75">
      <c r="A13" s="6" t="s">
        <v>15</v>
      </c>
      <c r="B13" s="7" t="s">
        <v>16</v>
      </c>
      <c r="C13" s="8"/>
      <c r="D13" s="9"/>
      <c r="E13" s="9"/>
      <c r="F13" s="9"/>
      <c r="G13" s="26"/>
    </row>
    <row r="14" spans="1:7" ht="31.5">
      <c r="A14" s="10" t="s">
        <v>40</v>
      </c>
      <c r="B14" s="14" t="s">
        <v>17</v>
      </c>
      <c r="C14" s="13">
        <v>2017</v>
      </c>
      <c r="D14" s="12">
        <v>0.4</v>
      </c>
      <c r="E14" s="16">
        <v>333</v>
      </c>
      <c r="F14" s="16">
        <v>333.01</v>
      </c>
      <c r="G14" s="27">
        <v>354.62</v>
      </c>
    </row>
    <row r="15" spans="1:7" ht="31.5">
      <c r="A15" s="10" t="s">
        <v>42</v>
      </c>
      <c r="B15" s="14" t="s">
        <v>19</v>
      </c>
      <c r="C15" s="13">
        <v>2017</v>
      </c>
      <c r="D15" s="12">
        <v>0.4</v>
      </c>
      <c r="E15" s="16">
        <v>1506</v>
      </c>
      <c r="F15" s="16">
        <v>764</v>
      </c>
      <c r="G15" s="27">
        <v>1574.58</v>
      </c>
    </row>
    <row r="16" spans="1:7" ht="15.75">
      <c r="A16" s="10" t="s">
        <v>43</v>
      </c>
      <c r="B16" s="14" t="s">
        <v>20</v>
      </c>
      <c r="C16" s="13">
        <v>2017</v>
      </c>
      <c r="D16" s="12">
        <v>0.4</v>
      </c>
      <c r="E16" s="16">
        <v>255</v>
      </c>
      <c r="F16" s="16">
        <v>268</v>
      </c>
      <c r="G16" s="27">
        <v>318.07</v>
      </c>
    </row>
    <row r="17" spans="1:7" ht="31.5">
      <c r="A17" s="10" t="s">
        <v>74</v>
      </c>
      <c r="B17" s="14" t="s">
        <v>14</v>
      </c>
      <c r="C17" s="13">
        <v>2017</v>
      </c>
      <c r="D17" s="16" t="s">
        <v>58</v>
      </c>
      <c r="E17" s="16"/>
      <c r="F17" s="16"/>
      <c r="G17" s="27"/>
    </row>
    <row r="18" spans="1:7" ht="15.75">
      <c r="A18" s="10" t="s">
        <v>45</v>
      </c>
      <c r="B18" s="14" t="s">
        <v>21</v>
      </c>
      <c r="C18" s="13">
        <v>2017</v>
      </c>
      <c r="D18" s="16" t="s">
        <v>58</v>
      </c>
      <c r="E18" s="16">
        <v>1141</v>
      </c>
      <c r="F18" s="16">
        <v>1261.8</v>
      </c>
      <c r="G18" s="27">
        <v>1548.19</v>
      </c>
    </row>
    <row r="19" spans="1:7" ht="15.75">
      <c r="A19" s="10" t="s">
        <v>75</v>
      </c>
      <c r="B19" s="14" t="s">
        <v>23</v>
      </c>
      <c r="C19" s="13">
        <v>2017</v>
      </c>
      <c r="D19" s="12">
        <v>0.4</v>
      </c>
      <c r="E19" s="16"/>
      <c r="F19" s="16"/>
      <c r="G19" s="27"/>
    </row>
    <row r="20" spans="1:7" ht="16.5" thickBot="1">
      <c r="A20" s="10" t="s">
        <v>76</v>
      </c>
      <c r="B20" s="14" t="s">
        <v>20</v>
      </c>
      <c r="C20" s="13">
        <v>2017</v>
      </c>
      <c r="D20" s="12">
        <v>0.4</v>
      </c>
      <c r="E20" s="16"/>
      <c r="F20" s="16"/>
      <c r="G20" s="27"/>
    </row>
    <row r="21" spans="1:7" ht="15.75">
      <c r="A21" s="6" t="s">
        <v>24</v>
      </c>
      <c r="B21" s="7" t="s">
        <v>25</v>
      </c>
      <c r="C21" s="8" t="s">
        <v>50</v>
      </c>
      <c r="D21" s="9" t="s">
        <v>50</v>
      </c>
      <c r="E21" s="9" t="s">
        <v>50</v>
      </c>
      <c r="F21" s="9" t="s">
        <v>50</v>
      </c>
      <c r="G21" s="26" t="s">
        <v>50</v>
      </c>
    </row>
    <row r="22" spans="1:7" ht="15.75">
      <c r="A22" s="10" t="s">
        <v>28</v>
      </c>
      <c r="B22" s="11" t="s">
        <v>29</v>
      </c>
      <c r="C22" s="13">
        <v>2017</v>
      </c>
      <c r="D22" s="12" t="s">
        <v>51</v>
      </c>
      <c r="E22" s="12"/>
      <c r="F22" s="12">
        <v>15</v>
      </c>
      <c r="G22" s="25">
        <v>675.29</v>
      </c>
    </row>
    <row r="23" spans="1:7" ht="16.5" thickBot="1">
      <c r="A23" s="10" t="s">
        <v>77</v>
      </c>
      <c r="B23" s="11" t="s">
        <v>143</v>
      </c>
      <c r="C23" s="13">
        <v>2017</v>
      </c>
      <c r="D23" s="12" t="s">
        <v>51</v>
      </c>
      <c r="E23" s="12"/>
      <c r="F23" s="12">
        <v>463.4</v>
      </c>
      <c r="G23" s="25">
        <v>1108.95</v>
      </c>
    </row>
    <row r="24" spans="1:7" ht="48" thickBot="1">
      <c r="A24" s="29" t="s">
        <v>32</v>
      </c>
      <c r="B24" s="30" t="s">
        <v>33</v>
      </c>
      <c r="C24" s="31" t="s">
        <v>50</v>
      </c>
      <c r="D24" s="32" t="s">
        <v>50</v>
      </c>
      <c r="E24" s="32" t="s">
        <v>50</v>
      </c>
      <c r="F24" s="32" t="s">
        <v>50</v>
      </c>
      <c r="G24" s="33" t="s">
        <v>50</v>
      </c>
    </row>
    <row r="25" spans="1:7" ht="48" thickBot="1">
      <c r="A25" s="34" t="s">
        <v>34</v>
      </c>
      <c r="B25" s="35" t="s">
        <v>35</v>
      </c>
      <c r="C25" s="36" t="s">
        <v>50</v>
      </c>
      <c r="D25" s="37" t="s">
        <v>50</v>
      </c>
      <c r="E25" s="37" t="s">
        <v>50</v>
      </c>
      <c r="F25" s="37" t="s">
        <v>50</v>
      </c>
      <c r="G25" s="38" t="s">
        <v>50</v>
      </c>
    </row>
    <row r="26" spans="1:7" ht="15.75">
      <c r="A26" s="24"/>
      <c r="B26" s="23" t="s">
        <v>36</v>
      </c>
      <c r="C26" s="23"/>
      <c r="D26" s="23"/>
      <c r="E26" s="23"/>
      <c r="F26" s="23"/>
      <c r="G26" s="23"/>
    </row>
  </sheetData>
  <sheetProtection/>
  <mergeCells count="6">
    <mergeCell ref="A5:G5"/>
    <mergeCell ref="A6:G6"/>
    <mergeCell ref="A1:G1"/>
    <mergeCell ref="A2:G2"/>
    <mergeCell ref="A3:G3"/>
    <mergeCell ref="A4:G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zoomScalePageLayoutView="0" workbookViewId="0" topLeftCell="A19">
      <selection activeCell="H11" sqref="H11"/>
    </sheetView>
  </sheetViews>
  <sheetFormatPr defaultColWidth="9.140625" defaultRowHeight="15"/>
  <cols>
    <col min="1" max="1" width="9.57421875" style="184" customWidth="1"/>
    <col min="2" max="2" width="46.8515625" style="184" customWidth="1"/>
    <col min="3" max="3" width="9.140625" style="184" customWidth="1"/>
    <col min="4" max="4" width="13.7109375" style="184" customWidth="1"/>
    <col min="5" max="5" width="22.00390625" style="184" customWidth="1"/>
    <col min="6" max="6" width="19.28125" style="184" customWidth="1"/>
    <col min="7" max="7" width="16.8515625" style="184" customWidth="1"/>
    <col min="8" max="16384" width="9.140625" style="184" customWidth="1"/>
  </cols>
  <sheetData>
    <row r="1" spans="1:7" ht="15.75">
      <c r="A1" s="341" t="s">
        <v>0</v>
      </c>
      <c r="B1" s="341"/>
      <c r="C1" s="341"/>
      <c r="D1" s="341"/>
      <c r="E1" s="341"/>
      <c r="F1" s="341"/>
      <c r="G1" s="341"/>
    </row>
    <row r="2" spans="1:7" ht="15.75">
      <c r="A2" s="341" t="s">
        <v>1</v>
      </c>
      <c r="B2" s="341"/>
      <c r="C2" s="341"/>
      <c r="D2" s="341"/>
      <c r="E2" s="341"/>
      <c r="F2" s="341"/>
      <c r="G2" s="341"/>
    </row>
    <row r="3" spans="1:7" ht="15.75">
      <c r="A3" s="342"/>
      <c r="B3" s="342"/>
      <c r="C3" s="342"/>
      <c r="D3" s="342"/>
      <c r="E3" s="342"/>
      <c r="F3" s="342"/>
      <c r="G3" s="342"/>
    </row>
    <row r="4" spans="1:7" ht="92.25" customHeight="1">
      <c r="A4" s="343" t="s">
        <v>54</v>
      </c>
      <c r="B4" s="343"/>
      <c r="C4" s="343"/>
      <c r="D4" s="343"/>
      <c r="E4" s="343"/>
      <c r="F4" s="343"/>
      <c r="G4" s="343"/>
    </row>
    <row r="5" spans="1:7" ht="15.75">
      <c r="A5" s="339" t="s">
        <v>2</v>
      </c>
      <c r="B5" s="339"/>
      <c r="C5" s="339"/>
      <c r="D5" s="339"/>
      <c r="E5" s="339"/>
      <c r="F5" s="339"/>
      <c r="G5" s="339"/>
    </row>
    <row r="6" spans="1:7" ht="19.5" thickBot="1">
      <c r="A6" s="340"/>
      <c r="B6" s="340"/>
      <c r="C6" s="340"/>
      <c r="D6" s="340"/>
      <c r="E6" s="340"/>
      <c r="F6" s="340"/>
      <c r="G6" s="340"/>
    </row>
    <row r="7" spans="1:7" ht="63.75" thickBot="1">
      <c r="A7" s="237" t="s">
        <v>3</v>
      </c>
      <c r="B7" s="238" t="s">
        <v>4</v>
      </c>
      <c r="C7" s="239" t="s">
        <v>5</v>
      </c>
      <c r="D7" s="240" t="s">
        <v>6</v>
      </c>
      <c r="E7" s="240" t="s">
        <v>7</v>
      </c>
      <c r="F7" s="240" t="s">
        <v>52</v>
      </c>
      <c r="G7" s="238" t="s">
        <v>9</v>
      </c>
    </row>
    <row r="8" spans="1:7" ht="15.75">
      <c r="A8" s="241" t="s">
        <v>10</v>
      </c>
      <c r="B8" s="242" t="s">
        <v>11</v>
      </c>
      <c r="C8" s="243"/>
      <c r="D8" s="244"/>
      <c r="E8" s="244"/>
      <c r="F8" s="244"/>
      <c r="G8" s="245"/>
    </row>
    <row r="9" spans="1:8" ht="15.75">
      <c r="A9" s="246" t="s">
        <v>55</v>
      </c>
      <c r="B9" s="247" t="s">
        <v>57</v>
      </c>
      <c r="C9" s="248">
        <v>2018</v>
      </c>
      <c r="D9" s="249">
        <v>0.4</v>
      </c>
      <c r="E9" s="249">
        <f>SUM('[7]Приложение 1_2018 год'!$F$7:$F$37)*1000</f>
        <v>3442.999999999999</v>
      </c>
      <c r="F9" s="255">
        <f>SUM('[7]Приложение 1_2018 год'!$G$7:$G$37)</f>
        <v>262.6999999999999</v>
      </c>
      <c r="G9" s="251">
        <f>SUM('[7]Приложение 1_2018 год'!$H$7:$H$37)/1000</f>
        <v>547.4521313106428</v>
      </c>
      <c r="H9" s="252"/>
    </row>
    <row r="10" spans="1:7" ht="15.75">
      <c r="A10" s="246" t="s">
        <v>38</v>
      </c>
      <c r="B10" s="247" t="s">
        <v>14</v>
      </c>
      <c r="C10" s="248">
        <v>2018</v>
      </c>
      <c r="D10" s="249">
        <v>0.4</v>
      </c>
      <c r="E10" s="249">
        <f>SUM('[7]Приложение 1_2018 год'!$F$39:$F$50)*1000</f>
        <v>1613</v>
      </c>
      <c r="F10" s="255">
        <f>SUM('[7]Приложение 1_2018 год'!$G$39:$G$50)</f>
        <v>676</v>
      </c>
      <c r="G10" s="251">
        <f>SUM('[7]Приложение 1_2018 год'!$H$39:$H$50)/1000</f>
        <v>683.841207949676</v>
      </c>
    </row>
    <row r="11" spans="1:7" ht="32.25" thickBot="1">
      <c r="A11" s="246" t="s">
        <v>38</v>
      </c>
      <c r="B11" s="253" t="s">
        <v>14</v>
      </c>
      <c r="C11" s="248">
        <v>2018</v>
      </c>
      <c r="D11" s="121" t="s">
        <v>58</v>
      </c>
      <c r="E11" s="249">
        <f>'[7]Приложение 1_2018 год'!$F$52*1000</f>
        <v>1520</v>
      </c>
      <c r="F11" s="255">
        <f>'[7]Приложение 1_2018 год'!$G$52</f>
        <v>15</v>
      </c>
      <c r="G11" s="122">
        <f>'[7]Приложение 1_2018 год'!$H$52/1000</f>
        <v>556.86547</v>
      </c>
    </row>
    <row r="12" spans="1:7" ht="15.75">
      <c r="A12" s="241" t="s">
        <v>15</v>
      </c>
      <c r="B12" s="242" t="s">
        <v>16</v>
      </c>
      <c r="C12" s="243"/>
      <c r="D12" s="244"/>
      <c r="E12" s="244"/>
      <c r="F12" s="244"/>
      <c r="G12" s="254"/>
    </row>
    <row r="13" spans="1:7" ht="31.5">
      <c r="A13" s="246" t="s">
        <v>240</v>
      </c>
      <c r="B13" s="253" t="s">
        <v>14</v>
      </c>
      <c r="C13" s="248">
        <v>2018</v>
      </c>
      <c r="D13" s="249">
        <v>0.4</v>
      </c>
      <c r="E13" s="121">
        <f>SUM('[7]Приложение 1_2018 год'!$F$70:$F$74)*1000</f>
        <v>1580</v>
      </c>
      <c r="F13" s="255">
        <f>SUM('[7]Приложение 1_2018 год'!$G$70:$G$74)</f>
        <v>313.4</v>
      </c>
      <c r="G13" s="122">
        <f>SUM('[7]Приложение 1_2018 год'!$H$70:$H$74)/1000</f>
        <v>892.25153</v>
      </c>
    </row>
    <row r="14" spans="1:7" ht="31.5">
      <c r="A14" s="246" t="s">
        <v>239</v>
      </c>
      <c r="B14" s="253" t="s">
        <v>19</v>
      </c>
      <c r="C14" s="248">
        <v>2018</v>
      </c>
      <c r="D14" s="249">
        <v>0.4</v>
      </c>
      <c r="E14" s="121">
        <f>SUM('[7]Приложение 1_2018 год'!$F$61:$F$68)*1000</f>
        <v>1515.9999999999998</v>
      </c>
      <c r="F14" s="255">
        <f>SUM('[7]Приложение 1_2018 год'!$G$61:$G$68)</f>
        <v>952.4</v>
      </c>
      <c r="G14" s="251">
        <f>SUM('[7]Приложение 1_2018 год'!$H$61:$H$68)/1000</f>
        <v>1203.8233799999998</v>
      </c>
    </row>
    <row r="15" spans="1:7" ht="15.75">
      <c r="A15" s="246" t="s">
        <v>238</v>
      </c>
      <c r="B15" s="253" t="s">
        <v>20</v>
      </c>
      <c r="C15" s="248">
        <v>2018</v>
      </c>
      <c r="D15" s="249">
        <v>0.4</v>
      </c>
      <c r="E15" s="121">
        <f>SUM('[7]Приложение 1_2018 год'!$F$55:$F$59)*1000</f>
        <v>915.9999999999999</v>
      </c>
      <c r="F15" s="255">
        <f>SUM('[7]Приложение 1_2018 год'!$G$55:$G$59)</f>
        <v>640</v>
      </c>
      <c r="G15" s="122">
        <f>SUM('[7]Приложение 1_2018 год'!$H$55:$H$59)/1000</f>
        <v>907.84063</v>
      </c>
    </row>
    <row r="16" spans="1:7" ht="31.5">
      <c r="A16" s="246" t="s">
        <v>651</v>
      </c>
      <c r="B16" s="253" t="s">
        <v>14</v>
      </c>
      <c r="C16" s="248">
        <v>2018</v>
      </c>
      <c r="D16" s="121" t="s">
        <v>58</v>
      </c>
      <c r="E16" s="121">
        <f>SUM('[7]Приложение 1_2018 год'!$F$76:$F$77)*1000</f>
        <v>1499</v>
      </c>
      <c r="F16" s="255">
        <f>'[7]Приложение 1_2018 год'!$G$76+'[7]Приложение 1_2018 год'!$G$77</f>
        <v>360</v>
      </c>
      <c r="G16" s="122">
        <f>SUM('[7]Приложение 1_2018 год'!$H$76:$H$77)/1000</f>
        <v>1735.5796799999996</v>
      </c>
    </row>
    <row r="17" spans="1:7" ht="15.75">
      <c r="A17" s="257" t="s">
        <v>652</v>
      </c>
      <c r="B17" s="253" t="s">
        <v>21</v>
      </c>
      <c r="C17" s="248">
        <v>2018</v>
      </c>
      <c r="D17" s="121" t="s">
        <v>58</v>
      </c>
      <c r="E17" s="121">
        <f>SUM('[7]Приложение 1_2018 год'!$F$79:$F$81)*1000</f>
        <v>3044</v>
      </c>
      <c r="F17" s="255">
        <f>SUM('[7]Приложение 1_2018 год'!$G$79:$G$81)</f>
        <v>778</v>
      </c>
      <c r="G17" s="122">
        <f>SUM('[7]Приложение 1_2018 год'!$H$79:$H$81)/1000</f>
        <v>1681.0515</v>
      </c>
    </row>
    <row r="18" spans="1:7" ht="31.5">
      <c r="A18" s="257"/>
      <c r="B18" s="253" t="s">
        <v>14</v>
      </c>
      <c r="C18" s="248">
        <v>2018</v>
      </c>
      <c r="D18" s="121">
        <v>0.4</v>
      </c>
      <c r="E18" s="121">
        <v>20</v>
      </c>
      <c r="F18" s="121">
        <v>70</v>
      </c>
      <c r="G18" s="122">
        <f>33+7.536</f>
        <v>40.536</v>
      </c>
    </row>
    <row r="19" spans="1:7" ht="31.5">
      <c r="A19" s="257"/>
      <c r="B19" s="253" t="s">
        <v>19</v>
      </c>
      <c r="C19" s="248">
        <v>2018</v>
      </c>
      <c r="D19" s="249" t="s">
        <v>44</v>
      </c>
      <c r="E19" s="121">
        <v>216</v>
      </c>
      <c r="F19" s="121">
        <v>120</v>
      </c>
      <c r="G19" s="122">
        <f>345.6+81.388</f>
        <v>426.98800000000006</v>
      </c>
    </row>
    <row r="20" spans="1:7" ht="16.5" thickBot="1">
      <c r="A20" s="257"/>
      <c r="B20" s="253" t="s">
        <v>20</v>
      </c>
      <c r="C20" s="248">
        <v>2018</v>
      </c>
      <c r="D20" s="249">
        <v>0.4</v>
      </c>
      <c r="E20" s="121">
        <v>42</v>
      </c>
      <c r="F20" s="121">
        <v>218</v>
      </c>
      <c r="G20" s="122">
        <f>63+13.411</f>
        <v>76.411</v>
      </c>
    </row>
    <row r="21" spans="1:7" ht="31.5">
      <c r="A21" s="241" t="s">
        <v>24</v>
      </c>
      <c r="B21" s="242" t="s">
        <v>599</v>
      </c>
      <c r="C21" s="243" t="s">
        <v>50</v>
      </c>
      <c r="D21" s="244" t="s">
        <v>50</v>
      </c>
      <c r="E21" s="244" t="s">
        <v>50</v>
      </c>
      <c r="F21" s="244" t="s">
        <v>50</v>
      </c>
      <c r="G21" s="254" t="s">
        <v>50</v>
      </c>
    </row>
    <row r="22" spans="1:7" ht="15.75">
      <c r="A22" s="257" t="s">
        <v>653</v>
      </c>
      <c r="B22" s="258" t="s">
        <v>600</v>
      </c>
      <c r="C22" s="248">
        <v>2018</v>
      </c>
      <c r="D22" s="249" t="s">
        <v>51</v>
      </c>
      <c r="E22" s="249"/>
      <c r="F22" s="249">
        <f>SUM('[7]Приложение 1_2018 год'!$G$91:$G$104)</f>
        <v>2459</v>
      </c>
      <c r="G22" s="251">
        <f>SUM('[7]Приложение 1_2018 год'!$H$91:$H$104)/1000</f>
        <v>4516.05326</v>
      </c>
    </row>
    <row r="23" spans="1:7" ht="16.5" thickBot="1">
      <c r="A23" s="257" t="s">
        <v>654</v>
      </c>
      <c r="B23" s="258" t="s">
        <v>143</v>
      </c>
      <c r="C23" s="248">
        <v>2018</v>
      </c>
      <c r="D23" s="249" t="s">
        <v>51</v>
      </c>
      <c r="E23" s="249"/>
      <c r="F23" s="249"/>
      <c r="G23" s="251"/>
    </row>
    <row r="24" spans="1:7" ht="48" thickBot="1">
      <c r="A24" s="34" t="s">
        <v>32</v>
      </c>
      <c r="B24" s="35" t="s">
        <v>33</v>
      </c>
      <c r="C24" s="36" t="s">
        <v>50</v>
      </c>
      <c r="D24" s="37" t="s">
        <v>50</v>
      </c>
      <c r="E24" s="37" t="s">
        <v>50</v>
      </c>
      <c r="F24" s="37" t="s">
        <v>50</v>
      </c>
      <c r="G24" s="38" t="s">
        <v>50</v>
      </c>
    </row>
    <row r="25" spans="1:7" ht="48" thickBot="1">
      <c r="A25" s="34" t="s">
        <v>34</v>
      </c>
      <c r="B25" s="35" t="s">
        <v>35</v>
      </c>
      <c r="C25" s="36" t="s">
        <v>50</v>
      </c>
      <c r="D25" s="37" t="s">
        <v>50</v>
      </c>
      <c r="E25" s="37" t="s">
        <v>50</v>
      </c>
      <c r="F25" s="37" t="s">
        <v>50</v>
      </c>
      <c r="G25" s="38" t="s">
        <v>50</v>
      </c>
    </row>
  </sheetData>
  <sheetProtection/>
  <mergeCells count="6">
    <mergeCell ref="A5:G5"/>
    <mergeCell ref="A6:G6"/>
    <mergeCell ref="A1:G1"/>
    <mergeCell ref="A2:G2"/>
    <mergeCell ref="A3:G3"/>
    <mergeCell ref="A4:G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zoomScalePageLayoutView="0" workbookViewId="0" topLeftCell="A5">
      <selection activeCell="I12" sqref="I12"/>
    </sheetView>
  </sheetViews>
  <sheetFormatPr defaultColWidth="9.140625" defaultRowHeight="15"/>
  <cols>
    <col min="1" max="1" width="9.57421875" style="184" customWidth="1"/>
    <col min="2" max="2" width="46.8515625" style="184" customWidth="1"/>
    <col min="3" max="3" width="9.140625" style="184" customWidth="1"/>
    <col min="4" max="4" width="13.7109375" style="184" customWidth="1"/>
    <col min="5" max="5" width="22.00390625" style="184" customWidth="1"/>
    <col min="6" max="6" width="19.28125" style="184" customWidth="1"/>
    <col min="7" max="7" width="16.8515625" style="184" customWidth="1"/>
    <col min="8" max="8" width="11.421875" style="184" bestFit="1" customWidth="1"/>
    <col min="9" max="16384" width="9.140625" style="184" customWidth="1"/>
  </cols>
  <sheetData>
    <row r="1" spans="1:7" ht="15.75">
      <c r="A1" s="341" t="s">
        <v>0</v>
      </c>
      <c r="B1" s="341"/>
      <c r="C1" s="341"/>
      <c r="D1" s="341"/>
      <c r="E1" s="341"/>
      <c r="F1" s="341"/>
      <c r="G1" s="341"/>
    </row>
    <row r="2" spans="1:7" ht="15.75">
      <c r="A2" s="341" t="s">
        <v>1</v>
      </c>
      <c r="B2" s="341"/>
      <c r="C2" s="341"/>
      <c r="D2" s="341"/>
      <c r="E2" s="341"/>
      <c r="F2" s="341"/>
      <c r="G2" s="341"/>
    </row>
    <row r="3" spans="1:7" ht="15.75">
      <c r="A3" s="342"/>
      <c r="B3" s="342"/>
      <c r="C3" s="342"/>
      <c r="D3" s="342"/>
      <c r="E3" s="342"/>
      <c r="F3" s="342"/>
      <c r="G3" s="342"/>
    </row>
    <row r="4" spans="1:7" ht="78.75" customHeight="1">
      <c r="A4" s="343" t="s">
        <v>54</v>
      </c>
      <c r="B4" s="343"/>
      <c r="C4" s="343"/>
      <c r="D4" s="343"/>
      <c r="E4" s="343"/>
      <c r="F4" s="343"/>
      <c r="G4" s="343"/>
    </row>
    <row r="5" spans="1:7" ht="15.75">
      <c r="A5" s="339" t="s">
        <v>2</v>
      </c>
      <c r="B5" s="339"/>
      <c r="C5" s="339"/>
      <c r="D5" s="339"/>
      <c r="E5" s="339"/>
      <c r="F5" s="339"/>
      <c r="G5" s="339"/>
    </row>
    <row r="6" spans="1:7" ht="19.5" thickBot="1">
      <c r="A6" s="340"/>
      <c r="B6" s="340"/>
      <c r="C6" s="340"/>
      <c r="D6" s="340"/>
      <c r="E6" s="340"/>
      <c r="F6" s="340"/>
      <c r="G6" s="340"/>
    </row>
    <row r="7" spans="1:7" ht="63.75" thickBot="1">
      <c r="A7" s="237" t="s">
        <v>3</v>
      </c>
      <c r="B7" s="238" t="s">
        <v>4</v>
      </c>
      <c r="C7" s="239" t="s">
        <v>5</v>
      </c>
      <c r="D7" s="240" t="s">
        <v>6</v>
      </c>
      <c r="E7" s="240" t="s">
        <v>7</v>
      </c>
      <c r="F7" s="240" t="s">
        <v>52</v>
      </c>
      <c r="G7" s="238" t="s">
        <v>9</v>
      </c>
    </row>
    <row r="8" spans="1:7" ht="15.75">
      <c r="A8" s="241" t="s">
        <v>10</v>
      </c>
      <c r="B8" s="242" t="s">
        <v>11</v>
      </c>
      <c r="C8" s="243"/>
      <c r="D8" s="244"/>
      <c r="E8" s="244"/>
      <c r="F8" s="244"/>
      <c r="G8" s="245"/>
    </row>
    <row r="9" spans="1:8" ht="15.75">
      <c r="A9" s="462" t="s">
        <v>55</v>
      </c>
      <c r="B9" s="247" t="s">
        <v>57</v>
      </c>
      <c r="C9" s="248">
        <v>2019</v>
      </c>
      <c r="D9" s="249">
        <v>0.4</v>
      </c>
      <c r="E9" s="249">
        <f>SUM('[7]Приложение 1_2019 год'!$F$7:$F$32)*1000</f>
        <v>3326</v>
      </c>
      <c r="F9" s="250">
        <f>SUM('[7]Приложение 1_2019 год'!$G$7:$G$32)</f>
        <v>245</v>
      </c>
      <c r="G9" s="251">
        <f>SUM('[7]Приложение 1_2019 год'!$H$7:$H$32)/1000</f>
        <v>1095.0099134317518</v>
      </c>
      <c r="H9" s="252"/>
    </row>
    <row r="10" spans="1:8" ht="15.75">
      <c r="A10" s="462" t="s">
        <v>38</v>
      </c>
      <c r="B10" s="247" t="s">
        <v>14</v>
      </c>
      <c r="C10" s="248">
        <v>2019</v>
      </c>
      <c r="D10" s="249">
        <v>0.4</v>
      </c>
      <c r="E10" s="249">
        <f>SUM('[7]Приложение 1_2019 год'!$F$34:$F$52)*1000</f>
        <v>4672</v>
      </c>
      <c r="F10" s="250">
        <f>SUM('[7]Приложение 1_2019 год'!$G$34:$G$52)</f>
        <v>520</v>
      </c>
      <c r="G10" s="251">
        <f>SUM('[7]Приложение 1_2019 год'!$H$34:$H$52)/1000</f>
        <v>2909.1232999999993</v>
      </c>
      <c r="H10" s="252"/>
    </row>
    <row r="11" spans="1:8" ht="32.25" thickBot="1">
      <c r="A11" s="462" t="s">
        <v>38</v>
      </c>
      <c r="B11" s="253" t="s">
        <v>14</v>
      </c>
      <c r="C11" s="248">
        <v>2019</v>
      </c>
      <c r="D11" s="121" t="s">
        <v>58</v>
      </c>
      <c r="E11" s="249">
        <f>'[6]Приложение 1_2019 год'!$F$47*1000</f>
        <v>30</v>
      </c>
      <c r="F11" s="250">
        <v>15</v>
      </c>
      <c r="G11" s="122">
        <f>'[6]Приложение 1_2019 год'!$H$47/1000</f>
        <v>50.32305000000001</v>
      </c>
      <c r="H11" s="252"/>
    </row>
    <row r="12" spans="1:8" ht="15.75">
      <c r="A12" s="241" t="s">
        <v>15</v>
      </c>
      <c r="B12" s="242" t="s">
        <v>16</v>
      </c>
      <c r="C12" s="243"/>
      <c r="D12" s="244"/>
      <c r="E12" s="244"/>
      <c r="F12" s="244"/>
      <c r="G12" s="254"/>
      <c r="H12" s="252"/>
    </row>
    <row r="13" spans="1:8" ht="31.5">
      <c r="A13" s="462" t="s">
        <v>240</v>
      </c>
      <c r="B13" s="253" t="s">
        <v>14</v>
      </c>
      <c r="C13" s="248">
        <v>2019</v>
      </c>
      <c r="D13" s="249">
        <v>0.4</v>
      </c>
      <c r="E13" s="121">
        <f>SUM('[6]Приложение 1_2019 год'!$F$68:$F$71)*1000</f>
        <v>273</v>
      </c>
      <c r="F13" s="250">
        <f>SUM('[7]Приложение 1_2019 год'!$G$70:$G$73)</f>
        <v>218</v>
      </c>
      <c r="G13" s="122">
        <f>SUM('[6]Приложение 1_2019 год'!$H$68:$H$71)/1000</f>
        <v>342.10065000000003</v>
      </c>
      <c r="H13" s="252"/>
    </row>
    <row r="14" spans="1:9" ht="31.5">
      <c r="A14" s="462" t="s">
        <v>239</v>
      </c>
      <c r="B14" s="253" t="s">
        <v>19</v>
      </c>
      <c r="C14" s="248">
        <v>2019</v>
      </c>
      <c r="D14" s="249">
        <v>0.4</v>
      </c>
      <c r="E14" s="121">
        <f>SUM('[6]Приложение 1_2019 год'!$F$60:$F$66)*1000</f>
        <v>1028</v>
      </c>
      <c r="F14" s="255">
        <f>SUM('[7]Приложение 1_2019 год'!$G$62:$G$68)</f>
        <v>903.25</v>
      </c>
      <c r="G14" s="251">
        <f>SUM('[6]Приложение 1_2019 год'!$H$60:$H$66)/1000</f>
        <v>1247.5224500000002</v>
      </c>
      <c r="H14" s="252"/>
      <c r="I14" s="256"/>
    </row>
    <row r="15" spans="1:8" ht="15.75">
      <c r="A15" s="462" t="s">
        <v>238</v>
      </c>
      <c r="B15" s="253" t="s">
        <v>20</v>
      </c>
      <c r="C15" s="248">
        <v>2019</v>
      </c>
      <c r="D15" s="249">
        <v>0.4</v>
      </c>
      <c r="E15" s="121">
        <f>SUM('[6]Приложение 1_2019 год'!$F$55:$F$58)*1000</f>
        <v>2559</v>
      </c>
      <c r="F15" s="250">
        <f>SUM('[7]Приложение 1_2019 год'!$G$57:$G$60)</f>
        <v>675</v>
      </c>
      <c r="G15" s="122">
        <f>SUM('[6]Приложение 1_2019 год'!$H$55:$H$58)/1000</f>
        <v>2579.21124</v>
      </c>
      <c r="H15" s="252"/>
    </row>
    <row r="16" spans="1:8" ht="31.5">
      <c r="A16" s="462" t="s">
        <v>651</v>
      </c>
      <c r="B16" s="253" t="s">
        <v>14</v>
      </c>
      <c r="C16" s="248">
        <v>2019</v>
      </c>
      <c r="D16" s="121" t="s">
        <v>58</v>
      </c>
      <c r="E16" s="121">
        <f>SUM('[6]Приложение 1_2019 год'!$F$73:$F$74)*1000</f>
        <v>480</v>
      </c>
      <c r="F16" s="255">
        <f>SUM('[7]Приложение 1_2019 год'!$G$75:$G$76)</f>
        <v>30</v>
      </c>
      <c r="G16" s="122">
        <f>SUM('[6]Приложение 1_2019 год'!$H$73:$H$74)/1000</f>
        <v>465.03284</v>
      </c>
      <c r="H16" s="252"/>
    </row>
    <row r="17" spans="1:8" ht="15.75">
      <c r="A17" s="257" t="s">
        <v>652</v>
      </c>
      <c r="B17" s="253" t="s">
        <v>21</v>
      </c>
      <c r="C17" s="248">
        <v>2019</v>
      </c>
      <c r="D17" s="121" t="s">
        <v>58</v>
      </c>
      <c r="E17" s="121">
        <f>SUM('[6]Приложение 1_2019 год'!$F$76:$F$80)*1000</f>
        <v>2856.9999999999995</v>
      </c>
      <c r="F17" s="250">
        <f>SUM('[7]Приложение 1_2019 год'!$G$78:$G$82)</f>
        <v>1890</v>
      </c>
      <c r="G17" s="122">
        <f>SUM('[6]Приложение 1_2019 год'!$H$76:$H$80)/1000</f>
        <v>2749.7434900000003</v>
      </c>
      <c r="H17" s="252"/>
    </row>
    <row r="18" spans="1:7" ht="31.5">
      <c r="A18" s="257"/>
      <c r="B18" s="253" t="s">
        <v>14</v>
      </c>
      <c r="C18" s="248">
        <v>2019</v>
      </c>
      <c r="D18" s="121">
        <v>0.4</v>
      </c>
      <c r="E18" s="121"/>
      <c r="F18" s="121"/>
      <c r="G18" s="122"/>
    </row>
    <row r="19" spans="1:7" ht="31.5">
      <c r="A19" s="257"/>
      <c r="B19" s="253" t="s">
        <v>19</v>
      </c>
      <c r="C19" s="248">
        <v>2019</v>
      </c>
      <c r="D19" s="249" t="s">
        <v>44</v>
      </c>
      <c r="E19" s="121"/>
      <c r="F19" s="121"/>
      <c r="G19" s="122"/>
    </row>
    <row r="20" spans="1:7" ht="16.5" thickBot="1">
      <c r="A20" s="257"/>
      <c r="B20" s="253" t="s">
        <v>20</v>
      </c>
      <c r="C20" s="248">
        <v>2019</v>
      </c>
      <c r="D20" s="249">
        <v>0.4</v>
      </c>
      <c r="E20" s="121"/>
      <c r="F20" s="121"/>
      <c r="G20" s="122"/>
    </row>
    <row r="21" spans="1:7" ht="31.5">
      <c r="A21" s="241" t="s">
        <v>24</v>
      </c>
      <c r="B21" s="242" t="s">
        <v>599</v>
      </c>
      <c r="C21" s="243" t="s">
        <v>50</v>
      </c>
      <c r="D21" s="244" t="s">
        <v>50</v>
      </c>
      <c r="E21" s="244" t="s">
        <v>50</v>
      </c>
      <c r="F21" s="244" t="s">
        <v>50</v>
      </c>
      <c r="G21" s="254" t="s">
        <v>50</v>
      </c>
    </row>
    <row r="22" spans="1:7" ht="15.75">
      <c r="A22" s="257" t="s">
        <v>653</v>
      </c>
      <c r="B22" s="258" t="s">
        <v>600</v>
      </c>
      <c r="C22" s="248">
        <v>2019</v>
      </c>
      <c r="D22" s="249" t="s">
        <v>51</v>
      </c>
      <c r="E22" s="249"/>
      <c r="F22" s="249">
        <f>SUM('[7]Приложение 1_2019 год'!$G$92:$G$103)</f>
        <v>1223.65</v>
      </c>
      <c r="G22" s="251">
        <f>SUM('[7]Приложение 1_2019 год'!$H$92:$H$103)/1000</f>
        <v>2890.4205</v>
      </c>
    </row>
    <row r="23" spans="1:7" ht="16.5" thickBot="1">
      <c r="A23" s="257" t="s">
        <v>654</v>
      </c>
      <c r="B23" s="258" t="s">
        <v>143</v>
      </c>
      <c r="C23" s="248">
        <v>2019</v>
      </c>
      <c r="D23" s="249" t="s">
        <v>51</v>
      </c>
      <c r="E23" s="249"/>
      <c r="F23" s="249">
        <f>SUM('[7]Приложение 1_2019 год'!$G$105:$G$110)</f>
        <v>1204</v>
      </c>
      <c r="G23" s="251">
        <f>('08'!G13+'08'!G14+'08'!G28+'08'!G72+'08'!G74+'08'!G76)/1000</f>
        <v>1786.46103</v>
      </c>
    </row>
    <row r="24" spans="1:7" ht="48" thickBot="1">
      <c r="A24" s="34" t="s">
        <v>26</v>
      </c>
      <c r="B24" s="35" t="s">
        <v>33</v>
      </c>
      <c r="C24" s="36" t="s">
        <v>50</v>
      </c>
      <c r="D24" s="37" t="s">
        <v>50</v>
      </c>
      <c r="E24" s="37" t="s">
        <v>50</v>
      </c>
      <c r="F24" s="37" t="s">
        <v>50</v>
      </c>
      <c r="G24" s="38" t="s">
        <v>50</v>
      </c>
    </row>
    <row r="25" spans="1:7" ht="48" thickBot="1">
      <c r="A25" s="34" t="s">
        <v>32</v>
      </c>
      <c r="B25" s="35" t="s">
        <v>35</v>
      </c>
      <c r="C25" s="36" t="s">
        <v>50</v>
      </c>
      <c r="D25" s="37" t="s">
        <v>50</v>
      </c>
      <c r="E25" s="37" t="s">
        <v>50</v>
      </c>
      <c r="F25" s="37" t="s">
        <v>50</v>
      </c>
      <c r="G25" s="38" t="s">
        <v>50</v>
      </c>
    </row>
  </sheetData>
  <sheetProtection/>
  <mergeCells count="6">
    <mergeCell ref="A5:G5"/>
    <mergeCell ref="A6:G6"/>
    <mergeCell ref="A1:G1"/>
    <mergeCell ref="A2:G2"/>
    <mergeCell ref="A3:G3"/>
    <mergeCell ref="A4:G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48"/>
  <sheetViews>
    <sheetView zoomScale="70" zoomScaleNormal="70" zoomScalePageLayoutView="0" workbookViewId="0" topLeftCell="A85">
      <selection activeCell="Q110" sqref="Q110"/>
    </sheetView>
  </sheetViews>
  <sheetFormatPr defaultColWidth="9.140625" defaultRowHeight="15"/>
  <cols>
    <col min="1" max="1" width="4.421875" style="0" customWidth="1"/>
    <col min="2" max="2" width="10.28125" style="0" customWidth="1"/>
    <col min="3" max="3" width="26.8515625" style="0" bestFit="1" customWidth="1"/>
    <col min="4" max="4" width="10.8515625" style="0" customWidth="1"/>
    <col min="5" max="5" width="25.421875" style="0" customWidth="1"/>
    <col min="6" max="6" width="16.421875" style="0" bestFit="1" customWidth="1"/>
    <col min="7" max="7" width="14.00390625" style="0" customWidth="1"/>
    <col min="8" max="8" width="14.421875" style="0" customWidth="1"/>
    <col min="9" max="9" width="14.57421875" style="0" customWidth="1"/>
    <col min="10" max="10" width="10.140625" style="0" customWidth="1"/>
    <col min="11" max="11" width="11.7109375" style="0" customWidth="1"/>
    <col min="12" max="13" width="12.57421875" style="0" customWidth="1"/>
    <col min="14" max="14" width="15.28125" style="0" customWidth="1"/>
    <col min="15" max="15" width="17.00390625" style="0" customWidth="1"/>
    <col min="16" max="16" width="19.421875" style="99" bestFit="1" customWidth="1"/>
    <col min="17" max="17" width="25.421875" style="0" customWidth="1"/>
  </cols>
  <sheetData>
    <row r="1" spans="3:15" ht="15">
      <c r="C1" t="s">
        <v>267</v>
      </c>
      <c r="E1" t="s">
        <v>399</v>
      </c>
      <c r="H1" s="98">
        <f>H8+H9+H10+H11+H12+H13+H20+H21+H24+H25+H26+H27+H28+H30+H31+H32+H33+H34+H36+H37+H38+H39+H40+H41+H42+H43+H49+H50+H51+H52+H53+H54+H55+H56+H57+H58+H60+H61+H62+H63+H66+H67+H68+H69+H71+H76+H77+H78+H79+H86+H87+H88+H89+H90+H91+H92+H93+H94+H97+H103+H107+H108+H109+H110</f>
        <v>582993.4745216917</v>
      </c>
      <c r="N1" s="97" t="s">
        <v>268</v>
      </c>
      <c r="O1" s="98">
        <f>O8+O9+O10+O11+O12+O13+O20+O21+O24+O25+O26+O27+O28+O30+O31+O32+O33+O34+O36+O37+O38+O39+O40+O41+O42+O43+O49+O50+O51+O52+O53+O54+O55+O56+O57+O58+O60+O61+O62+O63+O66+O67+O68+O69+O71+O76+O77+O78+O79+O86+O87+O88+O89+O90+O91+O92+O93+O94+O97+O103+O107+O108+O109+O110</f>
        <v>-547793.4745216917</v>
      </c>
    </row>
    <row r="2" spans="8:17" ht="15">
      <c r="H2" s="98">
        <f>H5+H6+H7+H14+H15+H17+H44+H45+H48+H65+H70+H73+H74+H75+H84+H85+H96+H98+H99+H100+H101+H102+H105+H106</f>
        <v>556588.0489402625</v>
      </c>
      <c r="N2" s="97" t="s">
        <v>269</v>
      </c>
      <c r="O2" s="98">
        <f>O5+O6+O7+O14+O15+O17+O44+O45+O48+O65+O70+O73+O74+O75+O84+O85+O96+O98+O99+O100+O101+O102+O105+O106</f>
        <v>-148347.93894026248</v>
      </c>
      <c r="P2" s="351" t="s">
        <v>206</v>
      </c>
      <c r="Q2" s="352"/>
    </row>
    <row r="3" spans="1:17" s="73" customFormat="1" ht="15">
      <c r="A3" s="350" t="s">
        <v>3</v>
      </c>
      <c r="B3" s="353" t="s">
        <v>400</v>
      </c>
      <c r="C3" s="344" t="s">
        <v>401</v>
      </c>
      <c r="D3" s="344" t="s">
        <v>208</v>
      </c>
      <c r="E3" s="344" t="s">
        <v>402</v>
      </c>
      <c r="F3" s="344" t="s">
        <v>403</v>
      </c>
      <c r="G3" s="344" t="s">
        <v>404</v>
      </c>
      <c r="H3" s="346" t="s">
        <v>213</v>
      </c>
      <c r="I3" s="347"/>
      <c r="J3" s="347"/>
      <c r="K3" s="347"/>
      <c r="L3" s="348"/>
      <c r="M3" s="123"/>
      <c r="N3" s="123"/>
      <c r="O3" s="349" t="s">
        <v>214</v>
      </c>
      <c r="P3" s="350" t="s">
        <v>215</v>
      </c>
      <c r="Q3" s="350"/>
    </row>
    <row r="4" spans="1:17" s="82" customFormat="1" ht="60">
      <c r="A4" s="350"/>
      <c r="B4" s="353"/>
      <c r="C4" s="345"/>
      <c r="D4" s="345"/>
      <c r="E4" s="345"/>
      <c r="F4" s="345"/>
      <c r="G4" s="345"/>
      <c r="H4" s="101" t="s">
        <v>217</v>
      </c>
      <c r="I4" s="101" t="s">
        <v>218</v>
      </c>
      <c r="J4" s="101" t="s">
        <v>219</v>
      </c>
      <c r="K4" s="101" t="s">
        <v>405</v>
      </c>
      <c r="L4" s="101" t="s">
        <v>221</v>
      </c>
      <c r="M4" s="137" t="s">
        <v>406</v>
      </c>
      <c r="N4" s="138" t="s">
        <v>407</v>
      </c>
      <c r="O4" s="349"/>
      <c r="P4" s="103" t="s">
        <v>222</v>
      </c>
      <c r="Q4" s="100" t="s">
        <v>223</v>
      </c>
    </row>
    <row r="5" spans="1:17" s="172" customFormat="1" ht="30">
      <c r="A5" s="139">
        <v>1</v>
      </c>
      <c r="B5" s="140">
        <v>43466</v>
      </c>
      <c r="C5" s="141" t="s">
        <v>231</v>
      </c>
      <c r="D5" s="139">
        <v>846080</v>
      </c>
      <c r="E5" s="141" t="s">
        <v>408</v>
      </c>
      <c r="F5" s="136">
        <v>16411.55</v>
      </c>
      <c r="G5" s="136">
        <v>16411.55</v>
      </c>
      <c r="H5" s="129">
        <f>SUM(I5:N5)</f>
        <v>893.7611400117212</v>
      </c>
      <c r="I5" s="136">
        <v>109.9</v>
      </c>
      <c r="J5" s="136">
        <v>570.21</v>
      </c>
      <c r="K5" s="136">
        <v>173.34</v>
      </c>
      <c r="L5" s="136">
        <f>I5/$I$16*$L$16</f>
        <v>3.748257380384331</v>
      </c>
      <c r="M5" s="136">
        <f>I5/$I$16*$M$16</f>
        <v>30.07397503416441</v>
      </c>
      <c r="N5" s="136">
        <f>I5/$I$16*$N$16</f>
        <v>6.4889075971724335</v>
      </c>
      <c r="O5" s="136">
        <f>F5-H5</f>
        <v>15517.788859988279</v>
      </c>
      <c r="P5" s="127"/>
      <c r="Q5" s="128"/>
    </row>
    <row r="6" spans="1:17" s="172" customFormat="1" ht="30">
      <c r="A6" s="139">
        <v>2</v>
      </c>
      <c r="B6" s="140">
        <v>43466</v>
      </c>
      <c r="C6" s="141" t="s">
        <v>231</v>
      </c>
      <c r="D6" s="139">
        <v>846081</v>
      </c>
      <c r="E6" s="141" t="s">
        <v>409</v>
      </c>
      <c r="F6" s="136">
        <v>16411.55</v>
      </c>
      <c r="G6" s="136">
        <v>16411.55</v>
      </c>
      <c r="H6" s="129">
        <f aca="true" t="shared" si="0" ref="H6:H75">SUM(I6:N6)</f>
        <v>1284.0367443697455</v>
      </c>
      <c r="I6" s="136">
        <v>395.44</v>
      </c>
      <c r="J6" s="136">
        <v>570.21</v>
      </c>
      <c r="K6" s="136">
        <v>173.34</v>
      </c>
      <c r="L6" s="136">
        <f aca="true" t="shared" si="1" ref="L6:L15">I6/$I$16*$L$16</f>
        <v>13.4869053548606</v>
      </c>
      <c r="M6" s="136">
        <f aca="true" t="shared" si="2" ref="M6:M15">I6/$I$16*$M$16</f>
        <v>108.2115804141035</v>
      </c>
      <c r="N6" s="136">
        <f aca="true" t="shared" si="3" ref="N6:N15">I6/$I$16*$N$16</f>
        <v>23.34825860078132</v>
      </c>
      <c r="O6" s="136">
        <f aca="true" t="shared" si="4" ref="O6:O76">F6-H6</f>
        <v>15127.513255630254</v>
      </c>
      <c r="P6" s="127"/>
      <c r="Q6" s="128"/>
    </row>
    <row r="7" spans="1:17" s="172" customFormat="1" ht="30">
      <c r="A7" s="139">
        <v>3</v>
      </c>
      <c r="B7" s="140">
        <v>43466</v>
      </c>
      <c r="C7" s="141" t="s">
        <v>231</v>
      </c>
      <c r="D7" s="139">
        <v>846082</v>
      </c>
      <c r="E7" s="141" t="s">
        <v>410</v>
      </c>
      <c r="F7" s="136">
        <v>16411.55</v>
      </c>
      <c r="G7" s="136">
        <v>16411.55</v>
      </c>
      <c r="H7" s="129">
        <f t="shared" si="0"/>
        <v>642.0133721848728</v>
      </c>
      <c r="I7" s="136">
        <v>197.72</v>
      </c>
      <c r="J7" s="136">
        <v>285.1</v>
      </c>
      <c r="K7" s="136">
        <v>86.67</v>
      </c>
      <c r="L7" s="136">
        <f t="shared" si="1"/>
        <v>6.7434526774303</v>
      </c>
      <c r="M7" s="136">
        <f t="shared" si="2"/>
        <v>54.10579020705175</v>
      </c>
      <c r="N7" s="136">
        <f t="shared" si="3"/>
        <v>11.67412930039066</v>
      </c>
      <c r="O7" s="136">
        <f t="shared" si="4"/>
        <v>15769.536627815127</v>
      </c>
      <c r="P7" s="127"/>
      <c r="Q7" s="128"/>
    </row>
    <row r="8" spans="1:17" s="172" customFormat="1" ht="15">
      <c r="A8" s="139">
        <v>4</v>
      </c>
      <c r="B8" s="140">
        <v>43466</v>
      </c>
      <c r="C8" s="141" t="s">
        <v>411</v>
      </c>
      <c r="D8" s="139">
        <v>5247001</v>
      </c>
      <c r="E8" s="141" t="s">
        <v>412</v>
      </c>
      <c r="F8" s="136">
        <v>550</v>
      </c>
      <c r="G8" s="136">
        <v>550</v>
      </c>
      <c r="H8" s="125">
        <f t="shared" si="0"/>
        <v>912.2567443697453</v>
      </c>
      <c r="I8" s="136">
        <v>395.44</v>
      </c>
      <c r="J8" s="136">
        <v>285.1</v>
      </c>
      <c r="K8" s="136">
        <v>86.67</v>
      </c>
      <c r="L8" s="136">
        <f t="shared" si="1"/>
        <v>13.4869053548606</v>
      </c>
      <c r="M8" s="136">
        <f t="shared" si="2"/>
        <v>108.2115804141035</v>
      </c>
      <c r="N8" s="136">
        <f t="shared" si="3"/>
        <v>23.34825860078132</v>
      </c>
      <c r="O8" s="136">
        <f t="shared" si="4"/>
        <v>-362.2567443697453</v>
      </c>
      <c r="P8" s="127"/>
      <c r="Q8" s="128"/>
    </row>
    <row r="9" spans="1:17" s="172" customFormat="1" ht="15">
      <c r="A9" s="139">
        <v>5</v>
      </c>
      <c r="B9" s="140">
        <v>43466</v>
      </c>
      <c r="C9" s="141" t="s">
        <v>411</v>
      </c>
      <c r="D9" s="139">
        <v>5246001</v>
      </c>
      <c r="E9" s="141" t="s">
        <v>413</v>
      </c>
      <c r="F9" s="136">
        <v>550</v>
      </c>
      <c r="G9" s="136">
        <v>550</v>
      </c>
      <c r="H9" s="125">
        <f t="shared" si="0"/>
        <v>912.2567443697453</v>
      </c>
      <c r="I9" s="136">
        <v>395.44</v>
      </c>
      <c r="J9" s="136">
        <v>285.1</v>
      </c>
      <c r="K9" s="136">
        <v>86.67</v>
      </c>
      <c r="L9" s="136">
        <f t="shared" si="1"/>
        <v>13.4869053548606</v>
      </c>
      <c r="M9" s="136">
        <f t="shared" si="2"/>
        <v>108.2115804141035</v>
      </c>
      <c r="N9" s="136">
        <f t="shared" si="3"/>
        <v>23.34825860078132</v>
      </c>
      <c r="O9" s="136">
        <f t="shared" si="4"/>
        <v>-362.2567443697453</v>
      </c>
      <c r="P9" s="127"/>
      <c r="Q9" s="128"/>
    </row>
    <row r="10" spans="1:17" s="172" customFormat="1" ht="15">
      <c r="A10" s="139">
        <v>6</v>
      </c>
      <c r="B10" s="140">
        <v>43466</v>
      </c>
      <c r="C10" s="141" t="s">
        <v>414</v>
      </c>
      <c r="D10" s="139">
        <v>5207001</v>
      </c>
      <c r="E10" s="141" t="s">
        <v>415</v>
      </c>
      <c r="F10" s="136">
        <v>550</v>
      </c>
      <c r="G10" s="136">
        <v>550</v>
      </c>
      <c r="H10" s="125">
        <f t="shared" si="0"/>
        <v>912.2567443697453</v>
      </c>
      <c r="I10" s="136">
        <v>395.44</v>
      </c>
      <c r="J10" s="136">
        <v>285.1</v>
      </c>
      <c r="K10" s="136">
        <v>86.67</v>
      </c>
      <c r="L10" s="136">
        <f t="shared" si="1"/>
        <v>13.4869053548606</v>
      </c>
      <c r="M10" s="136">
        <f t="shared" si="2"/>
        <v>108.2115804141035</v>
      </c>
      <c r="N10" s="136">
        <f t="shared" si="3"/>
        <v>23.34825860078132</v>
      </c>
      <c r="O10" s="136">
        <f t="shared" si="4"/>
        <v>-362.2567443697453</v>
      </c>
      <c r="P10" s="127"/>
      <c r="Q10" s="128"/>
    </row>
    <row r="11" spans="1:17" s="172" customFormat="1" ht="15">
      <c r="A11" s="139">
        <v>7</v>
      </c>
      <c r="B11" s="140">
        <v>43466</v>
      </c>
      <c r="C11" s="141" t="s">
        <v>416</v>
      </c>
      <c r="D11" s="139">
        <v>5234001</v>
      </c>
      <c r="E11" s="141" t="s">
        <v>417</v>
      </c>
      <c r="F11" s="136">
        <v>550</v>
      </c>
      <c r="G11" s="136">
        <v>550</v>
      </c>
      <c r="H11" s="125">
        <f t="shared" si="0"/>
        <v>912.2567443697453</v>
      </c>
      <c r="I11" s="136">
        <v>395.44</v>
      </c>
      <c r="J11" s="136">
        <v>285.1</v>
      </c>
      <c r="K11" s="136">
        <v>86.67</v>
      </c>
      <c r="L11" s="136">
        <f t="shared" si="1"/>
        <v>13.4869053548606</v>
      </c>
      <c r="M11" s="136">
        <f t="shared" si="2"/>
        <v>108.2115804141035</v>
      </c>
      <c r="N11" s="136">
        <f t="shared" si="3"/>
        <v>23.34825860078132</v>
      </c>
      <c r="O11" s="136">
        <f t="shared" si="4"/>
        <v>-362.2567443697453</v>
      </c>
      <c r="P11" s="127"/>
      <c r="Q11" s="128"/>
    </row>
    <row r="12" spans="1:17" s="172" customFormat="1" ht="15">
      <c r="A12" s="139">
        <v>8</v>
      </c>
      <c r="B12" s="140">
        <v>43466</v>
      </c>
      <c r="C12" s="141" t="s">
        <v>418</v>
      </c>
      <c r="D12" s="139">
        <v>5238001</v>
      </c>
      <c r="E12" s="141" t="s">
        <v>419</v>
      </c>
      <c r="F12" s="136">
        <v>550</v>
      </c>
      <c r="G12" s="136">
        <v>550</v>
      </c>
      <c r="H12" s="125">
        <f t="shared" si="0"/>
        <v>912.2567443697453</v>
      </c>
      <c r="I12" s="136">
        <v>395.44</v>
      </c>
      <c r="J12" s="136">
        <v>285.1</v>
      </c>
      <c r="K12" s="136">
        <v>86.67</v>
      </c>
      <c r="L12" s="136">
        <f t="shared" si="1"/>
        <v>13.4869053548606</v>
      </c>
      <c r="M12" s="136">
        <f t="shared" si="2"/>
        <v>108.2115804141035</v>
      </c>
      <c r="N12" s="136">
        <f t="shared" si="3"/>
        <v>23.34825860078132</v>
      </c>
      <c r="O12" s="136">
        <f t="shared" si="4"/>
        <v>-362.2567443697453</v>
      </c>
      <c r="P12" s="127"/>
      <c r="Q12" s="128"/>
    </row>
    <row r="13" spans="1:17" s="172" customFormat="1" ht="15">
      <c r="A13" s="139">
        <v>9</v>
      </c>
      <c r="B13" s="140">
        <v>43466</v>
      </c>
      <c r="C13" s="141" t="s">
        <v>420</v>
      </c>
      <c r="D13" s="139">
        <v>5220001</v>
      </c>
      <c r="E13" s="141" t="s">
        <v>421</v>
      </c>
      <c r="F13" s="136">
        <v>550</v>
      </c>
      <c r="G13" s="136">
        <v>550</v>
      </c>
      <c r="H13" s="125">
        <f t="shared" si="0"/>
        <v>912.2567443697453</v>
      </c>
      <c r="I13" s="136">
        <v>395.44</v>
      </c>
      <c r="J13" s="136">
        <v>285.1</v>
      </c>
      <c r="K13" s="136">
        <v>86.67</v>
      </c>
      <c r="L13" s="136">
        <f t="shared" si="1"/>
        <v>13.4869053548606</v>
      </c>
      <c r="M13" s="136">
        <f t="shared" si="2"/>
        <v>108.2115804141035</v>
      </c>
      <c r="N13" s="136">
        <f t="shared" si="3"/>
        <v>23.34825860078132</v>
      </c>
      <c r="O13" s="136">
        <f t="shared" si="4"/>
        <v>-362.2567443697453</v>
      </c>
      <c r="P13" s="127"/>
      <c r="Q13" s="128"/>
    </row>
    <row r="14" spans="1:17" s="172" customFormat="1" ht="15">
      <c r="A14" s="139">
        <v>10</v>
      </c>
      <c r="B14" s="140">
        <v>43466</v>
      </c>
      <c r="C14" s="141" t="s">
        <v>422</v>
      </c>
      <c r="D14" s="139">
        <v>1774012</v>
      </c>
      <c r="E14" s="141" t="s">
        <v>423</v>
      </c>
      <c r="F14" s="136">
        <v>16689.71</v>
      </c>
      <c r="G14" s="136">
        <v>16689.71</v>
      </c>
      <c r="H14" s="129">
        <f t="shared" si="0"/>
        <v>912.2567443697453</v>
      </c>
      <c r="I14" s="136">
        <v>395.44</v>
      </c>
      <c r="J14" s="136">
        <v>285.1</v>
      </c>
      <c r="K14" s="136">
        <v>86.67</v>
      </c>
      <c r="L14" s="136">
        <f t="shared" si="1"/>
        <v>13.4869053548606</v>
      </c>
      <c r="M14" s="136">
        <f t="shared" si="2"/>
        <v>108.2115804141035</v>
      </c>
      <c r="N14" s="136">
        <f t="shared" si="3"/>
        <v>23.34825860078132</v>
      </c>
      <c r="O14" s="136">
        <f t="shared" si="4"/>
        <v>15777.453255630255</v>
      </c>
      <c r="P14" s="127"/>
      <c r="Q14" s="128"/>
    </row>
    <row r="15" spans="1:17" s="172" customFormat="1" ht="30">
      <c r="A15" s="139">
        <v>11</v>
      </c>
      <c r="B15" s="140">
        <v>43466</v>
      </c>
      <c r="C15" s="141" t="s">
        <v>231</v>
      </c>
      <c r="D15" s="139">
        <v>846089</v>
      </c>
      <c r="E15" s="141" t="s">
        <v>424</v>
      </c>
      <c r="F15" s="136">
        <v>16411.55</v>
      </c>
      <c r="G15" s="136">
        <v>16411.55</v>
      </c>
      <c r="H15" s="129">
        <f t="shared" si="0"/>
        <v>19935.03153284544</v>
      </c>
      <c r="I15" s="136">
        <v>11442.04</v>
      </c>
      <c r="J15" s="136">
        <v>3294.53</v>
      </c>
      <c r="K15" s="136">
        <v>1001.54</v>
      </c>
      <c r="L15" s="136">
        <f t="shared" si="1"/>
        <v>390.24304710330057</v>
      </c>
      <c r="M15" s="136">
        <f t="shared" si="2"/>
        <v>3131.097591445956</v>
      </c>
      <c r="N15" s="136">
        <f t="shared" si="3"/>
        <v>675.5808942961863</v>
      </c>
      <c r="O15" s="136">
        <f t="shared" si="4"/>
        <v>-3523.4815328454424</v>
      </c>
      <c r="P15" s="142">
        <v>0.25</v>
      </c>
      <c r="Q15" s="139" t="s">
        <v>292</v>
      </c>
    </row>
    <row r="16" spans="1:17" s="172" customFormat="1" ht="15">
      <c r="A16" s="143"/>
      <c r="B16" s="144">
        <v>43466</v>
      </c>
      <c r="C16" s="145" t="s">
        <v>425</v>
      </c>
      <c r="D16" s="143"/>
      <c r="E16" s="145"/>
      <c r="F16" s="125">
        <f>SUM(F5:F15)</f>
        <v>85635.90999999999</v>
      </c>
      <c r="G16" s="125">
        <f>SUM(G5:G15)</f>
        <v>85635.90999999999</v>
      </c>
      <c r="H16" s="125">
        <f t="shared" si="0"/>
        <v>29140.64</v>
      </c>
      <c r="I16" s="125">
        <f>SUM(I5:I15)</f>
        <v>14913.18</v>
      </c>
      <c r="J16" s="125">
        <f>SUM(J5:J15)</f>
        <v>6715.75</v>
      </c>
      <c r="K16" s="125">
        <f>SUM(K5:K15)</f>
        <v>2041.5799999999997</v>
      </c>
      <c r="L16" s="125">
        <v>508.63</v>
      </c>
      <c r="M16" s="125">
        <f>4589.58-L16+0.02</f>
        <v>4080.97</v>
      </c>
      <c r="N16" s="125">
        <v>880.53</v>
      </c>
      <c r="O16" s="125">
        <f t="shared" si="4"/>
        <v>56495.26999999999</v>
      </c>
      <c r="P16" s="146"/>
      <c r="Q16" s="143"/>
    </row>
    <row r="17" spans="1:17" s="172" customFormat="1" ht="15">
      <c r="A17" s="139">
        <v>1</v>
      </c>
      <c r="B17" s="140">
        <v>43497</v>
      </c>
      <c r="C17" s="141" t="s">
        <v>225</v>
      </c>
      <c r="D17" s="139">
        <v>2515007</v>
      </c>
      <c r="E17" s="141" t="s">
        <v>426</v>
      </c>
      <c r="F17" s="136">
        <v>16411.55</v>
      </c>
      <c r="G17" s="136">
        <v>7385.2</v>
      </c>
      <c r="H17" s="129">
        <f t="shared" si="0"/>
        <v>186443.30907530815</v>
      </c>
      <c r="I17" s="136">
        <v>58172.92</v>
      </c>
      <c r="J17" s="136">
        <v>61697.86</v>
      </c>
      <c r="K17" s="136">
        <v>18756.15</v>
      </c>
      <c r="L17" s="136">
        <f>I17/$I$19*$L$19</f>
        <v>4520.710983529903</v>
      </c>
      <c r="M17" s="136">
        <f>I17/$I$19*$M$19</f>
        <v>38165.1405485887</v>
      </c>
      <c r="N17" s="136">
        <f>I17/$I$19*$N$19</f>
        <v>5130.527543189543</v>
      </c>
      <c r="O17" s="136">
        <f t="shared" si="4"/>
        <v>-170031.75907530816</v>
      </c>
      <c r="P17" s="127"/>
      <c r="Q17" s="128"/>
    </row>
    <row r="18" spans="1:17" s="172" customFormat="1" ht="30">
      <c r="A18" s="139">
        <v>2</v>
      </c>
      <c r="B18" s="140">
        <v>43497</v>
      </c>
      <c r="C18" s="141" t="s">
        <v>427</v>
      </c>
      <c r="D18" s="139">
        <v>2467049</v>
      </c>
      <c r="E18" s="141" t="s">
        <v>428</v>
      </c>
      <c r="F18" s="136">
        <v>3887312.79</v>
      </c>
      <c r="G18" s="136"/>
      <c r="H18" s="136">
        <f t="shared" si="0"/>
        <v>13293.010924691847</v>
      </c>
      <c r="I18" s="136">
        <v>4553.49</v>
      </c>
      <c r="J18" s="136">
        <v>3831.82</v>
      </c>
      <c r="K18" s="136">
        <v>1164.87</v>
      </c>
      <c r="L18" s="136">
        <f>I18/$I$19*$L$19</f>
        <v>353.8590164700961</v>
      </c>
      <c r="M18" s="136">
        <f>I18/$I$19*$M$19</f>
        <v>2987.379451411295</v>
      </c>
      <c r="N18" s="136">
        <f>I18/$I$19*$N$19</f>
        <v>401.5924568104567</v>
      </c>
      <c r="O18" s="136">
        <f t="shared" si="4"/>
        <v>3874019.7790753082</v>
      </c>
      <c r="P18" s="142"/>
      <c r="Q18" s="139"/>
    </row>
    <row r="19" spans="1:17" s="172" customFormat="1" ht="15">
      <c r="A19" s="143"/>
      <c r="B19" s="144">
        <v>43497</v>
      </c>
      <c r="C19" s="145" t="s">
        <v>429</v>
      </c>
      <c r="D19" s="143"/>
      <c r="E19" s="145"/>
      <c r="F19" s="125">
        <f>F17+F18</f>
        <v>3903724.34</v>
      </c>
      <c r="G19" s="125">
        <f>G17+G18</f>
        <v>7385.2</v>
      </c>
      <c r="H19" s="125">
        <f t="shared" si="0"/>
        <v>199736.31999999998</v>
      </c>
      <c r="I19" s="125">
        <f>SUM(I17:I18)</f>
        <v>62726.409999999996</v>
      </c>
      <c r="J19" s="125">
        <f>SUM(J17:J18)</f>
        <v>65529.68</v>
      </c>
      <c r="K19" s="125">
        <f>SUM(K17:K18)</f>
        <v>19921.02</v>
      </c>
      <c r="L19" s="125">
        <v>4874.57</v>
      </c>
      <c r="M19" s="125">
        <f>46027.1-4874.57-0.01</f>
        <v>41152.52</v>
      </c>
      <c r="N19" s="125">
        <v>5532.12</v>
      </c>
      <c r="O19" s="125">
        <f t="shared" si="4"/>
        <v>3703988.02</v>
      </c>
      <c r="P19" s="146"/>
      <c r="Q19" s="143"/>
    </row>
    <row r="20" spans="1:17" s="172" customFormat="1" ht="15">
      <c r="A20" s="139">
        <v>1</v>
      </c>
      <c r="B20" s="140">
        <v>43525</v>
      </c>
      <c r="C20" s="141" t="s">
        <v>430</v>
      </c>
      <c r="D20" s="139">
        <v>4328001</v>
      </c>
      <c r="E20" s="141" t="s">
        <v>431</v>
      </c>
      <c r="F20" s="136">
        <v>550</v>
      </c>
      <c r="G20" s="136">
        <v>550</v>
      </c>
      <c r="H20" s="125">
        <f t="shared" si="0"/>
        <v>3487.62</v>
      </c>
      <c r="I20" s="136">
        <v>405.36</v>
      </c>
      <c r="J20" s="136">
        <v>570.21</v>
      </c>
      <c r="K20" s="136">
        <v>173.34</v>
      </c>
      <c r="L20" s="136">
        <f>I20/$I$22*L$22</f>
        <v>87.51</v>
      </c>
      <c r="M20" s="136">
        <f>I20/$I$22*M$22</f>
        <v>341.37</v>
      </c>
      <c r="N20" s="136">
        <f>I20/$I$22*N$22</f>
        <v>1909.83</v>
      </c>
      <c r="O20" s="136">
        <f>F20-H20</f>
        <v>-2937.62</v>
      </c>
      <c r="P20" s="142"/>
      <c r="Q20" s="139"/>
    </row>
    <row r="21" spans="1:17" s="172" customFormat="1" ht="15">
      <c r="A21" s="139">
        <v>2</v>
      </c>
      <c r="B21" s="140">
        <v>43525</v>
      </c>
      <c r="C21" s="141" t="s">
        <v>432</v>
      </c>
      <c r="D21" s="139">
        <v>5263001</v>
      </c>
      <c r="E21" s="141" t="s">
        <v>433</v>
      </c>
      <c r="F21" s="136">
        <v>550</v>
      </c>
      <c r="G21" s="136">
        <v>550</v>
      </c>
      <c r="H21" s="125">
        <f t="shared" si="0"/>
        <v>3487.62</v>
      </c>
      <c r="I21" s="136">
        <v>405.36</v>
      </c>
      <c r="J21" s="136">
        <v>570.21</v>
      </c>
      <c r="K21" s="136">
        <v>173.34</v>
      </c>
      <c r="L21" s="136">
        <f>I21/$I$22*L$22</f>
        <v>87.51</v>
      </c>
      <c r="M21" s="136">
        <f>I21/$I$22*M$22</f>
        <v>341.37</v>
      </c>
      <c r="N21" s="136">
        <f>I21/$I$22*N$22</f>
        <v>1909.83</v>
      </c>
      <c r="O21" s="136">
        <f>F21-H21</f>
        <v>-2937.62</v>
      </c>
      <c r="P21" s="142"/>
      <c r="Q21" s="139"/>
    </row>
    <row r="22" spans="1:17" s="172" customFormat="1" ht="15">
      <c r="A22" s="143"/>
      <c r="B22" s="144">
        <v>43525</v>
      </c>
      <c r="C22" s="145" t="s">
        <v>434</v>
      </c>
      <c r="D22" s="143"/>
      <c r="E22" s="145"/>
      <c r="F22" s="125">
        <f>SUM(F20:F21)</f>
        <v>1100</v>
      </c>
      <c r="G22" s="125">
        <f>SUM(G20:G21)</f>
        <v>1100</v>
      </c>
      <c r="H22" s="125">
        <f t="shared" si="0"/>
        <v>6975.24</v>
      </c>
      <c r="I22" s="125">
        <f>SUM(I20:I21)</f>
        <v>810.72</v>
      </c>
      <c r="J22" s="125">
        <f>J20+J21</f>
        <v>1140.42</v>
      </c>
      <c r="K22" s="125">
        <f>K20+K21</f>
        <v>346.68</v>
      </c>
      <c r="L22" s="125">
        <v>175.02</v>
      </c>
      <c r="M22" s="125">
        <f>857.74-175.02+0.02</f>
        <v>682.74</v>
      </c>
      <c r="N22" s="125">
        <v>3819.66</v>
      </c>
      <c r="O22" s="125">
        <f>F22-H22</f>
        <v>-5875.24</v>
      </c>
      <c r="P22" s="146"/>
      <c r="Q22" s="143"/>
    </row>
    <row r="23" spans="1:17" s="172" customFormat="1" ht="15">
      <c r="A23" s="147"/>
      <c r="B23" s="148"/>
      <c r="C23" s="149" t="s">
        <v>435</v>
      </c>
      <c r="D23" s="147"/>
      <c r="E23" s="149"/>
      <c r="F23" s="150">
        <f>F16+F19+F22</f>
        <v>3990460.25</v>
      </c>
      <c r="G23" s="150">
        <f>G16+G19+G22</f>
        <v>94121.10999999999</v>
      </c>
      <c r="H23" s="150">
        <f t="shared" si="0"/>
        <v>235852.19999999995</v>
      </c>
      <c r="I23" s="150">
        <f aca="true" t="shared" si="5" ref="I23:N23">I16+I19+I22</f>
        <v>78450.31</v>
      </c>
      <c r="J23" s="150">
        <f t="shared" si="5"/>
        <v>73385.84999999999</v>
      </c>
      <c r="K23" s="150">
        <f t="shared" si="5"/>
        <v>22309.28</v>
      </c>
      <c r="L23" s="150">
        <f t="shared" si="5"/>
        <v>5558.22</v>
      </c>
      <c r="M23" s="150">
        <f t="shared" si="5"/>
        <v>45916.229999999996</v>
      </c>
      <c r="N23" s="150">
        <f t="shared" si="5"/>
        <v>10232.31</v>
      </c>
      <c r="O23" s="150">
        <f>F23-H23</f>
        <v>3754608.05</v>
      </c>
      <c r="P23" s="151"/>
      <c r="Q23" s="147"/>
    </row>
    <row r="24" spans="1:17" s="172" customFormat="1" ht="15">
      <c r="A24" s="139">
        <v>1</v>
      </c>
      <c r="B24" s="140">
        <v>43556</v>
      </c>
      <c r="C24" s="141" t="s">
        <v>436</v>
      </c>
      <c r="D24" s="139">
        <v>5318001</v>
      </c>
      <c r="E24" s="141" t="s">
        <v>437</v>
      </c>
      <c r="F24" s="136">
        <v>550</v>
      </c>
      <c r="G24" s="136">
        <v>550</v>
      </c>
      <c r="H24" s="125">
        <f t="shared" si="0"/>
        <v>195751.377106848</v>
      </c>
      <c r="I24" s="136">
        <v>2563.5</v>
      </c>
      <c r="J24" s="136">
        <v>570.21</v>
      </c>
      <c r="K24" s="136">
        <v>173.34</v>
      </c>
      <c r="L24" s="136">
        <f>$I24/$I$29*L$29</f>
        <v>6647.20516644493</v>
      </c>
      <c r="M24" s="136">
        <f>$I24/$I$29*M$29</f>
        <v>1504.3383080840592</v>
      </c>
      <c r="N24" s="136">
        <f>$I24/$I$29*N$29</f>
        <v>184292.783632319</v>
      </c>
      <c r="O24" s="136">
        <f>F24-H24</f>
        <v>-195201.377106848</v>
      </c>
      <c r="P24" s="142">
        <v>0.034</v>
      </c>
      <c r="Q24" s="139" t="s">
        <v>289</v>
      </c>
    </row>
    <row r="25" spans="1:17" s="172" customFormat="1" ht="15">
      <c r="A25" s="139">
        <v>2</v>
      </c>
      <c r="B25" s="140">
        <v>43556</v>
      </c>
      <c r="C25" s="141" t="s">
        <v>438</v>
      </c>
      <c r="D25" s="139">
        <v>860011</v>
      </c>
      <c r="E25" s="141" t="s">
        <v>439</v>
      </c>
      <c r="F25" s="136">
        <v>550</v>
      </c>
      <c r="G25" s="136">
        <v>550</v>
      </c>
      <c r="H25" s="125">
        <f t="shared" si="0"/>
        <v>31755.385723287978</v>
      </c>
      <c r="I25" s="136">
        <v>407.67</v>
      </c>
      <c r="J25" s="136">
        <v>570.21</v>
      </c>
      <c r="K25" s="136">
        <v>173.34</v>
      </c>
      <c r="L25" s="136">
        <f aca="true" t="shared" si="6" ref="L25:N28">$I25/$I$29*L$29</f>
        <v>1057.0962083887673</v>
      </c>
      <c r="M25" s="136">
        <f t="shared" si="6"/>
        <v>239.23292297898516</v>
      </c>
      <c r="N25" s="136">
        <f t="shared" si="6"/>
        <v>29307.836591920226</v>
      </c>
      <c r="O25" s="136">
        <f t="shared" si="4"/>
        <v>-31205.385723287978</v>
      </c>
      <c r="P25" s="142"/>
      <c r="Q25" s="139"/>
    </row>
    <row r="26" spans="1:17" s="172" customFormat="1" ht="15">
      <c r="A26" s="139">
        <v>3</v>
      </c>
      <c r="B26" s="140">
        <v>43556</v>
      </c>
      <c r="C26" s="141" t="s">
        <v>440</v>
      </c>
      <c r="D26" s="139">
        <v>5175001</v>
      </c>
      <c r="E26" s="141" t="s">
        <v>441</v>
      </c>
      <c r="F26" s="136">
        <v>550</v>
      </c>
      <c r="G26" s="136">
        <v>550</v>
      </c>
      <c r="H26" s="125">
        <f t="shared" si="0"/>
        <v>31755.385723287978</v>
      </c>
      <c r="I26" s="136">
        <v>407.67</v>
      </c>
      <c r="J26" s="136">
        <v>570.21</v>
      </c>
      <c r="K26" s="136">
        <v>173.34</v>
      </c>
      <c r="L26" s="136">
        <f t="shared" si="6"/>
        <v>1057.0962083887673</v>
      </c>
      <c r="M26" s="136">
        <f t="shared" si="6"/>
        <v>239.23292297898516</v>
      </c>
      <c r="N26" s="136">
        <f t="shared" si="6"/>
        <v>29307.836591920226</v>
      </c>
      <c r="O26" s="136">
        <f t="shared" si="4"/>
        <v>-31205.385723287978</v>
      </c>
      <c r="P26" s="142"/>
      <c r="Q26" s="139"/>
    </row>
    <row r="27" spans="1:17" s="172" customFormat="1" ht="15">
      <c r="A27" s="139">
        <v>4</v>
      </c>
      <c r="B27" s="140">
        <v>43556</v>
      </c>
      <c r="C27" s="141" t="s">
        <v>442</v>
      </c>
      <c r="D27" s="139">
        <v>2785001</v>
      </c>
      <c r="E27" s="141" t="s">
        <v>443</v>
      </c>
      <c r="F27" s="136">
        <v>550</v>
      </c>
      <c r="G27" s="136">
        <v>550</v>
      </c>
      <c r="H27" s="125">
        <f t="shared" si="0"/>
        <v>31755.385723287978</v>
      </c>
      <c r="I27" s="136">
        <v>407.67</v>
      </c>
      <c r="J27" s="136">
        <v>570.21</v>
      </c>
      <c r="K27" s="136">
        <v>173.34</v>
      </c>
      <c r="L27" s="136">
        <f t="shared" si="6"/>
        <v>1057.0962083887673</v>
      </c>
      <c r="M27" s="136">
        <f t="shared" si="6"/>
        <v>239.23292297898516</v>
      </c>
      <c r="N27" s="136">
        <f t="shared" si="6"/>
        <v>29307.836591920226</v>
      </c>
      <c r="O27" s="136">
        <f>F27-H27</f>
        <v>-31205.385723287978</v>
      </c>
      <c r="P27" s="142"/>
      <c r="Q27" s="139"/>
    </row>
    <row r="28" spans="1:17" s="172" customFormat="1" ht="15">
      <c r="A28" s="139">
        <v>5</v>
      </c>
      <c r="B28" s="140">
        <v>43556</v>
      </c>
      <c r="C28" s="141" t="s">
        <v>302</v>
      </c>
      <c r="D28" s="139">
        <v>5189001</v>
      </c>
      <c r="E28" s="141" t="s">
        <v>444</v>
      </c>
      <c r="F28" s="136">
        <v>550</v>
      </c>
      <c r="G28" s="136">
        <v>550</v>
      </c>
      <c r="H28" s="125">
        <f t="shared" si="0"/>
        <v>31755.385723287978</v>
      </c>
      <c r="I28" s="136">
        <v>407.67</v>
      </c>
      <c r="J28" s="136">
        <v>570.21</v>
      </c>
      <c r="K28" s="136">
        <v>173.34</v>
      </c>
      <c r="L28" s="136">
        <f t="shared" si="6"/>
        <v>1057.0962083887673</v>
      </c>
      <c r="M28" s="136">
        <f t="shared" si="6"/>
        <v>239.23292297898516</v>
      </c>
      <c r="N28" s="136">
        <f t="shared" si="6"/>
        <v>29307.836591920226</v>
      </c>
      <c r="O28" s="136">
        <f t="shared" si="4"/>
        <v>-31205.385723287978</v>
      </c>
      <c r="P28" s="142"/>
      <c r="Q28" s="139"/>
    </row>
    <row r="29" spans="1:17" s="172" customFormat="1" ht="15">
      <c r="A29" s="143"/>
      <c r="B29" s="144">
        <v>43556</v>
      </c>
      <c r="C29" s="145" t="s">
        <v>445</v>
      </c>
      <c r="D29" s="143"/>
      <c r="E29" s="145"/>
      <c r="F29" s="125">
        <f>SUM(F24:F28)</f>
        <v>2750</v>
      </c>
      <c r="G29" s="125">
        <f>SUM(G24:G28)</f>
        <v>2750</v>
      </c>
      <c r="H29" s="125">
        <f t="shared" si="0"/>
        <v>322772.9199999999</v>
      </c>
      <c r="I29" s="125">
        <f>SUM(I24:I28)</f>
        <v>4194.18</v>
      </c>
      <c r="J29" s="125">
        <f>SUM(J24:J28)</f>
        <v>2851.05</v>
      </c>
      <c r="K29" s="125">
        <f>SUM(K24:K28)</f>
        <v>866.7</v>
      </c>
      <c r="L29" s="125">
        <v>10875.59</v>
      </c>
      <c r="M29" s="125">
        <f>2461.21+0.06</f>
        <v>2461.27</v>
      </c>
      <c r="N29" s="125">
        <f>312399.72-10875.59</f>
        <v>301524.12999999995</v>
      </c>
      <c r="O29" s="125">
        <f t="shared" si="4"/>
        <v>-320022.9199999999</v>
      </c>
      <c r="P29" s="146"/>
      <c r="Q29" s="143"/>
    </row>
    <row r="30" spans="1:17" s="172" customFormat="1" ht="15">
      <c r="A30" s="139">
        <v>1</v>
      </c>
      <c r="B30" s="140">
        <v>43586</v>
      </c>
      <c r="C30" s="141" t="s">
        <v>446</v>
      </c>
      <c r="D30" s="139">
        <v>5267001</v>
      </c>
      <c r="E30" s="141" t="s">
        <v>447</v>
      </c>
      <c r="F30" s="136">
        <v>550</v>
      </c>
      <c r="G30" s="136">
        <v>550</v>
      </c>
      <c r="H30" s="125">
        <f t="shared" si="0"/>
        <v>4407.03049471836</v>
      </c>
      <c r="I30" s="136">
        <v>1736.68</v>
      </c>
      <c r="J30" s="136">
        <v>570.21</v>
      </c>
      <c r="K30" s="136">
        <v>173.34</v>
      </c>
      <c r="L30" s="136">
        <f>$I30/$I$35*L$35</f>
        <v>153.45274102866662</v>
      </c>
      <c r="M30" s="136">
        <f>$I30/$I$35*M$35</f>
        <v>845.4299089177331</v>
      </c>
      <c r="N30" s="136">
        <f>$I30/$I$35*N$35</f>
        <v>927.9178447719602</v>
      </c>
      <c r="O30" s="136">
        <f t="shared" si="4"/>
        <v>-3857.0304947183604</v>
      </c>
      <c r="P30" s="142"/>
      <c r="Q30" s="139"/>
    </row>
    <row r="31" spans="1:17" s="172" customFormat="1" ht="15">
      <c r="A31" s="139">
        <v>2</v>
      </c>
      <c r="B31" s="140">
        <v>43586</v>
      </c>
      <c r="C31" s="141" t="s">
        <v>448</v>
      </c>
      <c r="D31" s="139">
        <v>1162002</v>
      </c>
      <c r="E31" s="141" t="s">
        <v>449</v>
      </c>
      <c r="F31" s="136">
        <v>550</v>
      </c>
      <c r="G31" s="136">
        <v>550</v>
      </c>
      <c r="H31" s="125">
        <f t="shared" si="0"/>
        <v>3150.8811954836774</v>
      </c>
      <c r="I31" s="136">
        <v>1141.2</v>
      </c>
      <c r="J31" s="136">
        <v>570.21</v>
      </c>
      <c r="K31" s="136">
        <v>173.34</v>
      </c>
      <c r="L31" s="136">
        <f aca="true" t="shared" si="7" ref="L31:N34">$I31/$I$35*L$35</f>
        <v>100.83623238703409</v>
      </c>
      <c r="M31" s="136">
        <f t="shared" si="7"/>
        <v>555.5454154230583</v>
      </c>
      <c r="N31" s="136">
        <f t="shared" si="7"/>
        <v>609.7495476735846</v>
      </c>
      <c r="O31" s="136">
        <f t="shared" si="4"/>
        <v>-2600.8811954836774</v>
      </c>
      <c r="P31" s="142"/>
      <c r="Q31" s="139"/>
    </row>
    <row r="32" spans="1:17" s="172" customFormat="1" ht="15">
      <c r="A32" s="139">
        <v>3</v>
      </c>
      <c r="B32" s="140">
        <v>43586</v>
      </c>
      <c r="C32" s="141" t="s">
        <v>450</v>
      </c>
      <c r="D32" s="139">
        <v>5343001</v>
      </c>
      <c r="E32" s="141" t="s">
        <v>451</v>
      </c>
      <c r="F32" s="136">
        <v>550</v>
      </c>
      <c r="G32" s="136">
        <v>550</v>
      </c>
      <c r="H32" s="125">
        <f t="shared" si="0"/>
        <v>1601.7893067670295</v>
      </c>
      <c r="I32" s="136">
        <v>406.85</v>
      </c>
      <c r="J32" s="136">
        <v>570.21</v>
      </c>
      <c r="K32" s="136">
        <v>173.34</v>
      </c>
      <c r="L32" s="136">
        <f t="shared" si="7"/>
        <v>35.949194835843684</v>
      </c>
      <c r="M32" s="136">
        <f>$I32/$I$35*M$35</f>
        <v>198.0578796572654</v>
      </c>
      <c r="N32" s="136">
        <f t="shared" si="7"/>
        <v>217.38223227392035</v>
      </c>
      <c r="O32" s="136">
        <f t="shared" si="4"/>
        <v>-1051.7893067670295</v>
      </c>
      <c r="P32" s="142"/>
      <c r="Q32" s="139"/>
    </row>
    <row r="33" spans="1:17" s="172" customFormat="1" ht="15">
      <c r="A33" s="139">
        <v>4</v>
      </c>
      <c r="B33" s="140">
        <v>43586</v>
      </c>
      <c r="C33" s="141" t="s">
        <v>452</v>
      </c>
      <c r="D33" s="139">
        <v>5332001</v>
      </c>
      <c r="E33" s="141" t="s">
        <v>453</v>
      </c>
      <c r="F33" s="136">
        <v>550</v>
      </c>
      <c r="G33" s="136">
        <v>550</v>
      </c>
      <c r="H33" s="125">
        <f t="shared" si="0"/>
        <v>1381.8345015154669</v>
      </c>
      <c r="I33" s="136">
        <v>302.58</v>
      </c>
      <c r="J33" s="136">
        <v>570.21</v>
      </c>
      <c r="K33" s="136">
        <v>173.34</v>
      </c>
      <c r="L33" s="136">
        <f t="shared" si="7"/>
        <v>26.735915874227803</v>
      </c>
      <c r="M33" s="136">
        <f t="shared" si="7"/>
        <v>147.29839800097176</v>
      </c>
      <c r="N33" s="136">
        <f t="shared" si="7"/>
        <v>161.67018764026744</v>
      </c>
      <c r="O33" s="136">
        <f t="shared" si="4"/>
        <v>-831.8345015154669</v>
      </c>
      <c r="P33" s="142"/>
      <c r="Q33" s="139"/>
    </row>
    <row r="34" spans="1:17" s="172" customFormat="1" ht="15">
      <c r="A34" s="139">
        <v>5</v>
      </c>
      <c r="B34" s="140">
        <v>43586</v>
      </c>
      <c r="C34" s="141" t="s">
        <v>454</v>
      </c>
      <c r="D34" s="139">
        <v>5328001</v>
      </c>
      <c r="E34" s="141" t="s">
        <v>455</v>
      </c>
      <c r="F34" s="136">
        <v>550</v>
      </c>
      <c r="G34" s="136">
        <v>550</v>
      </c>
      <c r="H34" s="125">
        <f t="shared" si="0"/>
        <v>1381.8345015154669</v>
      </c>
      <c r="I34" s="136">
        <v>302.58</v>
      </c>
      <c r="J34" s="136">
        <v>570.21</v>
      </c>
      <c r="K34" s="136">
        <v>173.34</v>
      </c>
      <c r="L34" s="136">
        <f t="shared" si="7"/>
        <v>26.735915874227803</v>
      </c>
      <c r="M34" s="136">
        <f t="shared" si="7"/>
        <v>147.29839800097176</v>
      </c>
      <c r="N34" s="136">
        <f t="shared" si="7"/>
        <v>161.67018764026744</v>
      </c>
      <c r="O34" s="136">
        <f t="shared" si="4"/>
        <v>-831.8345015154669</v>
      </c>
      <c r="P34" s="142"/>
      <c r="Q34" s="139"/>
    </row>
    <row r="35" spans="1:17" s="172" customFormat="1" ht="15">
      <c r="A35" s="143"/>
      <c r="B35" s="144">
        <v>43586</v>
      </c>
      <c r="C35" s="145" t="s">
        <v>456</v>
      </c>
      <c r="D35" s="143"/>
      <c r="E35" s="145"/>
      <c r="F35" s="125">
        <f>SUM(F30:F34)</f>
        <v>2750</v>
      </c>
      <c r="G35" s="125">
        <f>SUM(G30:G34)</f>
        <v>2750</v>
      </c>
      <c r="H35" s="125">
        <f t="shared" si="0"/>
        <v>11923.369999999999</v>
      </c>
      <c r="I35" s="125">
        <f>SUM(I30:I34)</f>
        <v>3889.89</v>
      </c>
      <c r="J35" s="125">
        <f>SUM(J30:J34)</f>
        <v>2851.05</v>
      </c>
      <c r="K35" s="125">
        <f>SUM(K30:K34)</f>
        <v>866.7</v>
      </c>
      <c r="L35" s="125">
        <v>343.71</v>
      </c>
      <c r="M35" s="125">
        <f>2237.28-343.71+0.06</f>
        <v>1893.63</v>
      </c>
      <c r="N35" s="125">
        <v>2078.39</v>
      </c>
      <c r="O35" s="125">
        <f t="shared" si="4"/>
        <v>-9173.369999999999</v>
      </c>
      <c r="P35" s="146"/>
      <c r="Q35" s="143"/>
    </row>
    <row r="36" spans="1:17" s="172" customFormat="1" ht="15">
      <c r="A36" s="139">
        <v>1</v>
      </c>
      <c r="B36" s="140">
        <v>43617</v>
      </c>
      <c r="C36" s="141" t="s">
        <v>457</v>
      </c>
      <c r="D36" s="139">
        <v>5335001</v>
      </c>
      <c r="E36" s="141" t="s">
        <v>458</v>
      </c>
      <c r="F36" s="136">
        <v>550</v>
      </c>
      <c r="G36" s="136">
        <v>550</v>
      </c>
      <c r="H36" s="125">
        <f t="shared" si="0"/>
        <v>2133.767489651489</v>
      </c>
      <c r="I36" s="136">
        <v>285.3</v>
      </c>
      <c r="J36" s="136">
        <v>570.21</v>
      </c>
      <c r="K36" s="136">
        <v>173.34</v>
      </c>
      <c r="L36" s="136">
        <f>$I36/$I$46*L$46</f>
        <v>48.821132327413544</v>
      </c>
      <c r="M36" s="136">
        <f>$I36/$I$46*M$46</f>
        <v>197.34361129656833</v>
      </c>
      <c r="N36" s="136">
        <f>$I36/$I$46*N$46</f>
        <v>858.7527460275071</v>
      </c>
      <c r="O36" s="136">
        <f t="shared" si="4"/>
        <v>-1583.767489651489</v>
      </c>
      <c r="P36" s="142"/>
      <c r="Q36" s="139"/>
    </row>
    <row r="37" spans="1:17" s="172" customFormat="1" ht="15">
      <c r="A37" s="139">
        <v>2</v>
      </c>
      <c r="B37" s="140">
        <v>43617</v>
      </c>
      <c r="C37" s="141" t="s">
        <v>459</v>
      </c>
      <c r="D37" s="139">
        <v>5322001</v>
      </c>
      <c r="E37" s="141" t="s">
        <v>458</v>
      </c>
      <c r="F37" s="136">
        <v>550</v>
      </c>
      <c r="G37" s="136">
        <v>550</v>
      </c>
      <c r="H37" s="125">
        <f t="shared" si="0"/>
        <v>2828.876234477233</v>
      </c>
      <c r="I37" s="136">
        <v>427.95</v>
      </c>
      <c r="J37" s="136">
        <v>570.21</v>
      </c>
      <c r="K37" s="136">
        <v>173.34</v>
      </c>
      <c r="L37" s="136">
        <f aca="true" t="shared" si="8" ref="L37:N45">$I37/$I$46*L$46</f>
        <v>73.23169849112031</v>
      </c>
      <c r="M37" s="136">
        <f t="shared" si="8"/>
        <v>296.01541694485246</v>
      </c>
      <c r="N37" s="136">
        <f t="shared" si="8"/>
        <v>1288.1291190412605</v>
      </c>
      <c r="O37" s="136">
        <f t="shared" si="4"/>
        <v>-2278.876234477233</v>
      </c>
      <c r="P37" s="142"/>
      <c r="Q37" s="139"/>
    </row>
    <row r="38" spans="1:17" s="172" customFormat="1" ht="15">
      <c r="A38" s="139">
        <v>3</v>
      </c>
      <c r="B38" s="140">
        <v>43617</v>
      </c>
      <c r="C38" s="141" t="s">
        <v>460</v>
      </c>
      <c r="D38" s="139">
        <v>5173002</v>
      </c>
      <c r="E38" s="141" t="s">
        <v>461</v>
      </c>
      <c r="F38" s="136">
        <v>550</v>
      </c>
      <c r="G38" s="136">
        <v>550</v>
      </c>
      <c r="H38" s="125">
        <f t="shared" si="0"/>
        <v>2133.767489651489</v>
      </c>
      <c r="I38" s="136">
        <v>285.3</v>
      </c>
      <c r="J38" s="136">
        <v>570.21</v>
      </c>
      <c r="K38" s="136">
        <v>173.34</v>
      </c>
      <c r="L38" s="136">
        <f t="shared" si="8"/>
        <v>48.821132327413544</v>
      </c>
      <c r="M38" s="136">
        <f t="shared" si="8"/>
        <v>197.34361129656833</v>
      </c>
      <c r="N38" s="136">
        <f t="shared" si="8"/>
        <v>858.7527460275071</v>
      </c>
      <c r="O38" s="136">
        <f t="shared" si="4"/>
        <v>-1583.767489651489</v>
      </c>
      <c r="P38" s="142"/>
      <c r="Q38" s="139"/>
    </row>
    <row r="39" spans="1:17" s="172" customFormat="1" ht="15">
      <c r="A39" s="139">
        <v>4</v>
      </c>
      <c r="B39" s="140">
        <v>43617</v>
      </c>
      <c r="C39" s="141" t="s">
        <v>462</v>
      </c>
      <c r="D39" s="139">
        <v>5209001</v>
      </c>
      <c r="E39" s="141" t="s">
        <v>463</v>
      </c>
      <c r="F39" s="136">
        <v>550</v>
      </c>
      <c r="G39" s="136">
        <v>550</v>
      </c>
      <c r="H39" s="125">
        <f t="shared" si="0"/>
        <v>2133.767489651489</v>
      </c>
      <c r="I39" s="136">
        <v>285.3</v>
      </c>
      <c r="J39" s="136">
        <v>570.21</v>
      </c>
      <c r="K39" s="136">
        <v>173.34</v>
      </c>
      <c r="L39" s="136">
        <f t="shared" si="8"/>
        <v>48.821132327413544</v>
      </c>
      <c r="M39" s="136">
        <f t="shared" si="8"/>
        <v>197.34361129656833</v>
      </c>
      <c r="N39" s="136">
        <f t="shared" si="8"/>
        <v>858.7527460275071</v>
      </c>
      <c r="O39" s="136">
        <f t="shared" si="4"/>
        <v>-1583.767489651489</v>
      </c>
      <c r="P39" s="142"/>
      <c r="Q39" s="139"/>
    </row>
    <row r="40" spans="1:17" s="172" customFormat="1" ht="15">
      <c r="A40" s="139">
        <v>5</v>
      </c>
      <c r="B40" s="140">
        <v>43617</v>
      </c>
      <c r="C40" s="141" t="s">
        <v>464</v>
      </c>
      <c r="D40" s="139">
        <v>4773001</v>
      </c>
      <c r="E40" s="141" t="s">
        <v>465</v>
      </c>
      <c r="F40" s="136">
        <v>550</v>
      </c>
      <c r="G40" s="136">
        <v>550</v>
      </c>
      <c r="H40" s="125">
        <f t="shared" si="0"/>
        <v>3523.984979302978</v>
      </c>
      <c r="I40" s="136">
        <v>570.6</v>
      </c>
      <c r="J40" s="136">
        <v>570.21</v>
      </c>
      <c r="K40" s="136">
        <v>173.34</v>
      </c>
      <c r="L40" s="136">
        <f t="shared" si="8"/>
        <v>97.64226465482709</v>
      </c>
      <c r="M40" s="136">
        <f t="shared" si="8"/>
        <v>394.68722259313665</v>
      </c>
      <c r="N40" s="136">
        <f t="shared" si="8"/>
        <v>1717.5054920550142</v>
      </c>
      <c r="O40" s="136">
        <f t="shared" si="4"/>
        <v>-2973.984979302978</v>
      </c>
      <c r="P40" s="142"/>
      <c r="Q40" s="139"/>
    </row>
    <row r="41" spans="1:17" s="172" customFormat="1" ht="15">
      <c r="A41" s="139">
        <v>6</v>
      </c>
      <c r="B41" s="140">
        <v>43617</v>
      </c>
      <c r="C41" s="141" t="s">
        <v>466</v>
      </c>
      <c r="D41" s="139">
        <v>5323001</v>
      </c>
      <c r="E41" s="141" t="s">
        <v>467</v>
      </c>
      <c r="F41" s="136">
        <v>550</v>
      </c>
      <c r="G41" s="136">
        <v>550</v>
      </c>
      <c r="H41" s="125">
        <f t="shared" si="0"/>
        <v>3523.984979302978</v>
      </c>
      <c r="I41" s="136">
        <v>570.6</v>
      </c>
      <c r="J41" s="136">
        <v>570.21</v>
      </c>
      <c r="K41" s="136">
        <v>173.34</v>
      </c>
      <c r="L41" s="136">
        <f t="shared" si="8"/>
        <v>97.64226465482709</v>
      </c>
      <c r="M41" s="136">
        <f t="shared" si="8"/>
        <v>394.68722259313665</v>
      </c>
      <c r="N41" s="136">
        <f t="shared" si="8"/>
        <v>1717.5054920550142</v>
      </c>
      <c r="O41" s="136">
        <f t="shared" si="4"/>
        <v>-2973.984979302978</v>
      </c>
      <c r="P41" s="142"/>
      <c r="Q41" s="139"/>
    </row>
    <row r="42" spans="1:17" s="172" customFormat="1" ht="15">
      <c r="A42" s="139">
        <v>7</v>
      </c>
      <c r="B42" s="140">
        <v>43617</v>
      </c>
      <c r="C42" s="141" t="s">
        <v>468</v>
      </c>
      <c r="D42" s="139">
        <v>5337001</v>
      </c>
      <c r="E42" s="141" t="s">
        <v>469</v>
      </c>
      <c r="F42" s="136">
        <v>550</v>
      </c>
      <c r="G42" s="136">
        <v>550</v>
      </c>
      <c r="H42" s="125">
        <f t="shared" si="0"/>
        <v>3523.984979302978</v>
      </c>
      <c r="I42" s="136">
        <v>570.6</v>
      </c>
      <c r="J42" s="136">
        <v>570.21</v>
      </c>
      <c r="K42" s="136">
        <v>173.34</v>
      </c>
      <c r="L42" s="136">
        <f t="shared" si="8"/>
        <v>97.64226465482709</v>
      </c>
      <c r="M42" s="136">
        <f t="shared" si="8"/>
        <v>394.68722259313665</v>
      </c>
      <c r="N42" s="136">
        <f t="shared" si="8"/>
        <v>1717.5054920550142</v>
      </c>
      <c r="O42" s="136">
        <f t="shared" si="4"/>
        <v>-2973.984979302978</v>
      </c>
      <c r="P42" s="142"/>
      <c r="Q42" s="139"/>
    </row>
    <row r="43" spans="1:17" s="172" customFormat="1" ht="15">
      <c r="A43" s="139">
        <v>8</v>
      </c>
      <c r="B43" s="140">
        <v>43617</v>
      </c>
      <c r="C43" s="141" t="s">
        <v>470</v>
      </c>
      <c r="D43" s="139">
        <v>5352001</v>
      </c>
      <c r="E43" s="141" t="s">
        <v>471</v>
      </c>
      <c r="F43" s="136">
        <v>550</v>
      </c>
      <c r="G43" s="136">
        <v>550</v>
      </c>
      <c r="H43" s="125">
        <f t="shared" si="0"/>
        <v>3523.984979302978</v>
      </c>
      <c r="I43" s="136">
        <v>570.6</v>
      </c>
      <c r="J43" s="136">
        <v>570.21</v>
      </c>
      <c r="K43" s="136">
        <v>173.34</v>
      </c>
      <c r="L43" s="136">
        <f t="shared" si="8"/>
        <v>97.64226465482709</v>
      </c>
      <c r="M43" s="136">
        <f t="shared" si="8"/>
        <v>394.68722259313665</v>
      </c>
      <c r="N43" s="136">
        <f t="shared" si="8"/>
        <v>1717.5054920550142</v>
      </c>
      <c r="O43" s="136">
        <f t="shared" si="4"/>
        <v>-2973.984979302978</v>
      </c>
      <c r="P43" s="142"/>
      <c r="Q43" s="139"/>
    </row>
    <row r="44" spans="1:17" s="172" customFormat="1" ht="15">
      <c r="A44" s="139">
        <v>9</v>
      </c>
      <c r="B44" s="140">
        <v>43617</v>
      </c>
      <c r="C44" s="141" t="s">
        <v>472</v>
      </c>
      <c r="D44" s="139">
        <v>4519001</v>
      </c>
      <c r="E44" s="141" t="s">
        <v>473</v>
      </c>
      <c r="F44" s="136">
        <v>17294.9</v>
      </c>
      <c r="G44" s="136">
        <v>17294.9</v>
      </c>
      <c r="H44" s="129">
        <f t="shared" si="0"/>
        <v>2133.767489651489</v>
      </c>
      <c r="I44" s="136">
        <v>285.3</v>
      </c>
      <c r="J44" s="136">
        <v>570.21</v>
      </c>
      <c r="K44" s="136">
        <v>173.34</v>
      </c>
      <c r="L44" s="136">
        <f t="shared" si="8"/>
        <v>48.821132327413544</v>
      </c>
      <c r="M44" s="136">
        <f t="shared" si="8"/>
        <v>197.34361129656833</v>
      </c>
      <c r="N44" s="136">
        <f t="shared" si="8"/>
        <v>858.7527460275071</v>
      </c>
      <c r="O44" s="136">
        <f t="shared" si="4"/>
        <v>15161.132510348512</v>
      </c>
      <c r="P44" s="127"/>
      <c r="Q44" s="128"/>
    </row>
    <row r="45" spans="1:17" s="172" customFormat="1" ht="30">
      <c r="A45" s="139">
        <v>10</v>
      </c>
      <c r="B45" s="140">
        <v>43617</v>
      </c>
      <c r="C45" s="141" t="s">
        <v>474</v>
      </c>
      <c r="D45" s="139">
        <v>1994009</v>
      </c>
      <c r="E45" s="141" t="s">
        <v>475</v>
      </c>
      <c r="F45" s="136">
        <v>16689.71</v>
      </c>
      <c r="G45" s="136">
        <v>16679.71</v>
      </c>
      <c r="H45" s="129">
        <f t="shared" si="0"/>
        <v>3871.173889704901</v>
      </c>
      <c r="I45" s="136">
        <v>641.85</v>
      </c>
      <c r="J45" s="136">
        <v>570.21</v>
      </c>
      <c r="K45" s="136">
        <v>173.34</v>
      </c>
      <c r="L45" s="136">
        <f t="shared" si="8"/>
        <v>109.83471357991722</v>
      </c>
      <c r="M45" s="136">
        <f t="shared" si="8"/>
        <v>443.971247496328</v>
      </c>
      <c r="N45" s="136">
        <f t="shared" si="8"/>
        <v>1931.9679286286555</v>
      </c>
      <c r="O45" s="136">
        <f t="shared" si="4"/>
        <v>12818.5361102951</v>
      </c>
      <c r="P45" s="127"/>
      <c r="Q45" s="128"/>
    </row>
    <row r="46" spans="1:17" s="172" customFormat="1" ht="15">
      <c r="A46" s="143"/>
      <c r="B46" s="144">
        <v>43617</v>
      </c>
      <c r="C46" s="145" t="s">
        <v>476</v>
      </c>
      <c r="D46" s="143"/>
      <c r="E46" s="145"/>
      <c r="F46" s="125">
        <f>SUM(F36:F45)</f>
        <v>38384.61</v>
      </c>
      <c r="G46" s="125">
        <f>SUM(G36:G45)</f>
        <v>38374.61</v>
      </c>
      <c r="H46" s="125">
        <f t="shared" si="0"/>
        <v>29331.059999999998</v>
      </c>
      <c r="I46" s="125">
        <f>SUM(I36:I45)</f>
        <v>4493.4</v>
      </c>
      <c r="J46" s="125">
        <f>SUM(J36:J45)</f>
        <v>5702.1</v>
      </c>
      <c r="K46" s="125">
        <f>SUM(K36:K45)</f>
        <v>1733.3999999999996</v>
      </c>
      <c r="L46" s="125">
        <v>768.92</v>
      </c>
      <c r="M46" s="125">
        <f>3876.93-768.92+0.1</f>
        <v>3108.1099999999997</v>
      </c>
      <c r="N46" s="125">
        <v>13525.13</v>
      </c>
      <c r="O46" s="125">
        <f t="shared" si="4"/>
        <v>9053.550000000003</v>
      </c>
      <c r="P46" s="146"/>
      <c r="Q46" s="143"/>
    </row>
    <row r="47" spans="1:17" s="172" customFormat="1" ht="15">
      <c r="A47" s="147"/>
      <c r="B47" s="148"/>
      <c r="C47" s="149" t="s">
        <v>477</v>
      </c>
      <c r="D47" s="147"/>
      <c r="E47" s="149"/>
      <c r="F47" s="150">
        <f>F23+F29+F35+F46</f>
        <v>4034344.86</v>
      </c>
      <c r="G47" s="150">
        <f>G23+G29+G35+G46</f>
        <v>137995.71999999997</v>
      </c>
      <c r="H47" s="150">
        <f t="shared" si="0"/>
        <v>599879.5499999999</v>
      </c>
      <c r="I47" s="150">
        <f aca="true" t="shared" si="9" ref="I47:N47">I23+I29+I35+I46</f>
        <v>91027.77999999998</v>
      </c>
      <c r="J47" s="150">
        <f t="shared" si="9"/>
        <v>84790.05</v>
      </c>
      <c r="K47" s="150">
        <f t="shared" si="9"/>
        <v>25776.08</v>
      </c>
      <c r="L47" s="150">
        <f t="shared" si="9"/>
        <v>17546.44</v>
      </c>
      <c r="M47" s="150">
        <f t="shared" si="9"/>
        <v>53379.23999999999</v>
      </c>
      <c r="N47" s="150">
        <f t="shared" si="9"/>
        <v>327359.95999999996</v>
      </c>
      <c r="O47" s="150">
        <f t="shared" si="4"/>
        <v>3434465.31</v>
      </c>
      <c r="P47" s="151"/>
      <c r="Q47" s="147"/>
    </row>
    <row r="48" spans="1:17" s="172" customFormat="1" ht="15">
      <c r="A48" s="139">
        <v>1</v>
      </c>
      <c r="B48" s="140">
        <v>43647</v>
      </c>
      <c r="C48" s="141" t="s">
        <v>478</v>
      </c>
      <c r="D48" s="139">
        <v>5213002</v>
      </c>
      <c r="E48" s="141" t="s">
        <v>479</v>
      </c>
      <c r="F48" s="136">
        <v>17294.91</v>
      </c>
      <c r="G48" s="136">
        <v>17294.91</v>
      </c>
      <c r="H48" s="129">
        <f>SUM(I48:N48)</f>
        <v>1658.4177456132481</v>
      </c>
      <c r="I48" s="136">
        <v>297.66</v>
      </c>
      <c r="J48" s="136">
        <v>570.21</v>
      </c>
      <c r="K48" s="136">
        <v>173.34</v>
      </c>
      <c r="L48" s="136">
        <f>$I48/$I$64*L$64</f>
        <v>16.969551885117898</v>
      </c>
      <c r="M48" s="136">
        <f>$I48/$I$64*M$64</f>
        <v>266.0842189359995</v>
      </c>
      <c r="N48" s="136">
        <f>$I48/$I$64*N$64</f>
        <v>334.1539747921309</v>
      </c>
      <c r="O48" s="136">
        <f t="shared" si="4"/>
        <v>15636.492254386752</v>
      </c>
      <c r="P48" s="127"/>
      <c r="Q48" s="128"/>
    </row>
    <row r="49" spans="1:17" s="172" customFormat="1" ht="15">
      <c r="A49" s="139">
        <v>2</v>
      </c>
      <c r="B49" s="140">
        <v>43647</v>
      </c>
      <c r="C49" s="141" t="s">
        <v>480</v>
      </c>
      <c r="D49" s="139">
        <v>391026</v>
      </c>
      <c r="E49" s="141" t="s">
        <v>481</v>
      </c>
      <c r="F49" s="136">
        <v>550</v>
      </c>
      <c r="G49" s="136">
        <v>550</v>
      </c>
      <c r="H49" s="125">
        <f t="shared" si="0"/>
        <v>4268.6153971688855</v>
      </c>
      <c r="I49" s="136">
        <v>1146.91</v>
      </c>
      <c r="J49" s="136">
        <v>570.21</v>
      </c>
      <c r="K49" s="136">
        <v>173.34</v>
      </c>
      <c r="L49" s="136">
        <f aca="true" t="shared" si="10" ref="L49:N63">$I49/$I$64*L$64</f>
        <v>65.3851668096505</v>
      </c>
      <c r="M49" s="136">
        <f t="shared" si="10"/>
        <v>1025.2457553580837</v>
      </c>
      <c r="N49" s="136">
        <f t="shared" si="10"/>
        <v>1287.5244750011518</v>
      </c>
      <c r="O49" s="136">
        <f t="shared" si="4"/>
        <v>-3718.6153971688855</v>
      </c>
      <c r="P49" s="142"/>
      <c r="Q49" s="139"/>
    </row>
    <row r="50" spans="1:17" s="172" customFormat="1" ht="15">
      <c r="A50" s="139">
        <v>3</v>
      </c>
      <c r="B50" s="140">
        <v>43647</v>
      </c>
      <c r="C50" s="141" t="s">
        <v>482</v>
      </c>
      <c r="D50" s="139">
        <v>5314001</v>
      </c>
      <c r="E50" s="141" t="s">
        <v>483</v>
      </c>
      <c r="F50" s="136">
        <v>550</v>
      </c>
      <c r="G50" s="136">
        <v>550</v>
      </c>
      <c r="H50" s="125">
        <f t="shared" si="0"/>
        <v>2037.876093639223</v>
      </c>
      <c r="I50" s="136">
        <v>421.12</v>
      </c>
      <c r="J50" s="136">
        <v>570.21</v>
      </c>
      <c r="K50" s="136">
        <v>173.34</v>
      </c>
      <c r="L50" s="136">
        <f t="shared" si="10"/>
        <v>24.00798793879207</v>
      </c>
      <c r="M50" s="136">
        <f t="shared" si="10"/>
        <v>376.4475787083521</v>
      </c>
      <c r="N50" s="136">
        <f t="shared" si="10"/>
        <v>472.75052699207873</v>
      </c>
      <c r="O50" s="136">
        <f t="shared" si="4"/>
        <v>-1487.876093639223</v>
      </c>
      <c r="P50" s="142"/>
      <c r="Q50" s="139"/>
    </row>
    <row r="51" spans="1:17" s="172" customFormat="1" ht="15">
      <c r="A51" s="139">
        <v>4</v>
      </c>
      <c r="B51" s="140">
        <v>43647</v>
      </c>
      <c r="C51" s="141" t="s">
        <v>484</v>
      </c>
      <c r="D51" s="139">
        <v>5364001</v>
      </c>
      <c r="E51" s="141" t="s">
        <v>485</v>
      </c>
      <c r="F51" s="136">
        <v>550</v>
      </c>
      <c r="G51" s="136">
        <v>550</v>
      </c>
      <c r="H51" s="125">
        <f t="shared" si="0"/>
        <v>2037.876093639223</v>
      </c>
      <c r="I51" s="136">
        <v>421.12</v>
      </c>
      <c r="J51" s="136">
        <v>570.21</v>
      </c>
      <c r="K51" s="136">
        <v>173.34</v>
      </c>
      <c r="L51" s="136">
        <f t="shared" si="10"/>
        <v>24.00798793879207</v>
      </c>
      <c r="M51" s="136">
        <f t="shared" si="10"/>
        <v>376.4475787083521</v>
      </c>
      <c r="N51" s="136">
        <f t="shared" si="10"/>
        <v>472.75052699207873</v>
      </c>
      <c r="O51" s="136">
        <f t="shared" si="4"/>
        <v>-1487.876093639223</v>
      </c>
      <c r="P51" s="142"/>
      <c r="Q51" s="139"/>
    </row>
    <row r="52" spans="1:17" s="172" customFormat="1" ht="15">
      <c r="A52" s="139">
        <v>5</v>
      </c>
      <c r="B52" s="140">
        <v>43647</v>
      </c>
      <c r="C52" s="141" t="s">
        <v>486</v>
      </c>
      <c r="D52" s="139">
        <v>5253001</v>
      </c>
      <c r="E52" s="141" t="s">
        <v>487</v>
      </c>
      <c r="F52" s="136">
        <v>550</v>
      </c>
      <c r="G52" s="136">
        <v>550</v>
      </c>
      <c r="H52" s="125">
        <f t="shared" si="0"/>
        <v>2037.876093639223</v>
      </c>
      <c r="I52" s="136">
        <v>421.12</v>
      </c>
      <c r="J52" s="136">
        <v>570.21</v>
      </c>
      <c r="K52" s="136">
        <v>173.34</v>
      </c>
      <c r="L52" s="136">
        <f t="shared" si="10"/>
        <v>24.00798793879207</v>
      </c>
      <c r="M52" s="136">
        <f t="shared" si="10"/>
        <v>376.4475787083521</v>
      </c>
      <c r="N52" s="136">
        <f t="shared" si="10"/>
        <v>472.75052699207873</v>
      </c>
      <c r="O52" s="136">
        <f t="shared" si="4"/>
        <v>-1487.876093639223</v>
      </c>
      <c r="P52" s="142"/>
      <c r="Q52" s="139"/>
    </row>
    <row r="53" spans="1:17" s="172" customFormat="1" ht="15">
      <c r="A53" s="139">
        <v>6</v>
      </c>
      <c r="B53" s="140">
        <v>43647</v>
      </c>
      <c r="C53" s="141" t="s">
        <v>488</v>
      </c>
      <c r="D53" s="139">
        <v>5374001</v>
      </c>
      <c r="E53" s="141" t="s">
        <v>489</v>
      </c>
      <c r="F53" s="136">
        <v>550</v>
      </c>
      <c r="G53" s="136">
        <v>550</v>
      </c>
      <c r="H53" s="125">
        <f t="shared" si="0"/>
        <v>1848.1469196262356</v>
      </c>
      <c r="I53" s="136">
        <v>359.39</v>
      </c>
      <c r="J53" s="136">
        <v>570.21</v>
      </c>
      <c r="K53" s="136">
        <v>173.34</v>
      </c>
      <c r="L53" s="136">
        <f t="shared" si="10"/>
        <v>20.488769911954982</v>
      </c>
      <c r="M53" s="136">
        <f t="shared" si="10"/>
        <v>321.26589882217576</v>
      </c>
      <c r="N53" s="136">
        <f t="shared" si="10"/>
        <v>403.45225089210476</v>
      </c>
      <c r="O53" s="136">
        <f t="shared" si="4"/>
        <v>-1298.1469196262356</v>
      </c>
      <c r="P53" s="142"/>
      <c r="Q53" s="139"/>
    </row>
    <row r="54" spans="1:17" s="172" customFormat="1" ht="15">
      <c r="A54" s="139">
        <v>7</v>
      </c>
      <c r="B54" s="140">
        <v>43647</v>
      </c>
      <c r="C54" s="141" t="s">
        <v>333</v>
      </c>
      <c r="D54" s="139">
        <v>5231001</v>
      </c>
      <c r="E54" s="141" t="s">
        <v>490</v>
      </c>
      <c r="F54" s="136">
        <v>550</v>
      </c>
      <c r="G54" s="136">
        <v>550</v>
      </c>
      <c r="H54" s="125">
        <f t="shared" si="0"/>
        <v>3200.3168988142097</v>
      </c>
      <c r="I54" s="136">
        <v>799.33</v>
      </c>
      <c r="J54" s="136">
        <v>570.21</v>
      </c>
      <c r="K54" s="136">
        <v>173.34</v>
      </c>
      <c r="L54" s="136">
        <f t="shared" si="10"/>
        <v>45.56968322358156</v>
      </c>
      <c r="M54" s="136">
        <f t="shared" si="10"/>
        <v>714.5370514080241</v>
      </c>
      <c r="N54" s="136">
        <f t="shared" si="10"/>
        <v>897.3301641826042</v>
      </c>
      <c r="O54" s="136">
        <f t="shared" si="4"/>
        <v>-2650.3168988142097</v>
      </c>
      <c r="P54" s="142"/>
      <c r="Q54" s="139"/>
    </row>
    <row r="55" spans="1:17" s="172" customFormat="1" ht="15">
      <c r="A55" s="139">
        <v>8</v>
      </c>
      <c r="B55" s="140">
        <v>43647</v>
      </c>
      <c r="C55" s="141" t="s">
        <v>491</v>
      </c>
      <c r="D55" s="139">
        <v>5362001</v>
      </c>
      <c r="E55" s="141" t="s">
        <v>492</v>
      </c>
      <c r="F55" s="136">
        <v>550</v>
      </c>
      <c r="G55" s="136">
        <v>550</v>
      </c>
      <c r="H55" s="125">
        <f t="shared" si="0"/>
        <v>2037.4457990602205</v>
      </c>
      <c r="I55" s="136">
        <v>420.98</v>
      </c>
      <c r="J55" s="136">
        <v>570.21</v>
      </c>
      <c r="K55" s="136">
        <v>173.34</v>
      </c>
      <c r="L55" s="136">
        <f t="shared" si="10"/>
        <v>24.00000655982306</v>
      </c>
      <c r="M55" s="136">
        <f t="shared" si="10"/>
        <v>376.322429912239</v>
      </c>
      <c r="N55" s="136">
        <f t="shared" si="10"/>
        <v>472.59336258815847</v>
      </c>
      <c r="O55" s="136">
        <f t="shared" si="4"/>
        <v>-1487.4457990602205</v>
      </c>
      <c r="P55" s="142"/>
      <c r="Q55" s="139"/>
    </row>
    <row r="56" spans="1:17" s="172" customFormat="1" ht="15">
      <c r="A56" s="139">
        <v>9</v>
      </c>
      <c r="B56" s="140">
        <v>43647</v>
      </c>
      <c r="C56" s="141" t="s">
        <v>493</v>
      </c>
      <c r="D56" s="139">
        <v>5386001</v>
      </c>
      <c r="E56" s="141" t="s">
        <v>494</v>
      </c>
      <c r="F56" s="136">
        <v>550</v>
      </c>
      <c r="G56" s="136">
        <v>550</v>
      </c>
      <c r="H56" s="125">
        <f t="shared" si="0"/>
        <v>2037.4457990602205</v>
      </c>
      <c r="I56" s="136">
        <v>420.98</v>
      </c>
      <c r="J56" s="136">
        <v>570.21</v>
      </c>
      <c r="K56" s="136">
        <v>173.34</v>
      </c>
      <c r="L56" s="136">
        <f t="shared" si="10"/>
        <v>24.00000655982306</v>
      </c>
      <c r="M56" s="136">
        <f t="shared" si="10"/>
        <v>376.322429912239</v>
      </c>
      <c r="N56" s="136">
        <f t="shared" si="10"/>
        <v>472.59336258815847</v>
      </c>
      <c r="O56" s="136">
        <f>F56-H56</f>
        <v>-1487.4457990602205</v>
      </c>
      <c r="P56" s="142"/>
      <c r="Q56" s="139"/>
    </row>
    <row r="57" spans="1:17" s="172" customFormat="1" ht="15">
      <c r="A57" s="139">
        <v>10</v>
      </c>
      <c r="B57" s="140">
        <v>43647</v>
      </c>
      <c r="C57" s="141" t="s">
        <v>495</v>
      </c>
      <c r="D57" s="139">
        <v>5392001</v>
      </c>
      <c r="E57" s="141" t="s">
        <v>496</v>
      </c>
      <c r="F57" s="136">
        <v>550</v>
      </c>
      <c r="G57" s="136">
        <v>550</v>
      </c>
      <c r="H57" s="125">
        <f t="shared" si="0"/>
        <v>2037.4457990602205</v>
      </c>
      <c r="I57" s="136">
        <v>420.98</v>
      </c>
      <c r="J57" s="136">
        <v>570.21</v>
      </c>
      <c r="K57" s="136">
        <v>173.34</v>
      </c>
      <c r="L57" s="136">
        <f t="shared" si="10"/>
        <v>24.00000655982306</v>
      </c>
      <c r="M57" s="136">
        <f t="shared" si="10"/>
        <v>376.322429912239</v>
      </c>
      <c r="N57" s="136">
        <f t="shared" si="10"/>
        <v>472.59336258815847</v>
      </c>
      <c r="O57" s="136">
        <f t="shared" si="4"/>
        <v>-1487.4457990602205</v>
      </c>
      <c r="P57" s="142"/>
      <c r="Q57" s="139"/>
    </row>
    <row r="58" spans="1:17" s="172" customFormat="1" ht="15">
      <c r="A58" s="139">
        <v>11</v>
      </c>
      <c r="B58" s="140">
        <v>43647</v>
      </c>
      <c r="C58" s="141" t="s">
        <v>497</v>
      </c>
      <c r="D58" s="139">
        <v>5367001</v>
      </c>
      <c r="E58" s="141" t="s">
        <v>498</v>
      </c>
      <c r="F58" s="136">
        <v>550</v>
      </c>
      <c r="G58" s="136">
        <v>550</v>
      </c>
      <c r="H58" s="125">
        <f t="shared" si="0"/>
        <v>2037.4457990602205</v>
      </c>
      <c r="I58" s="136">
        <v>420.98</v>
      </c>
      <c r="J58" s="136">
        <v>570.21</v>
      </c>
      <c r="K58" s="136">
        <v>173.34</v>
      </c>
      <c r="L58" s="136">
        <f t="shared" si="10"/>
        <v>24.00000655982306</v>
      </c>
      <c r="M58" s="136">
        <f t="shared" si="10"/>
        <v>376.322429912239</v>
      </c>
      <c r="N58" s="136">
        <f t="shared" si="10"/>
        <v>472.59336258815847</v>
      </c>
      <c r="O58" s="136">
        <f>F58-H58</f>
        <v>-1487.4457990602205</v>
      </c>
      <c r="P58" s="142"/>
      <c r="Q58" s="139"/>
    </row>
    <row r="59" spans="1:17" s="172" customFormat="1" ht="15">
      <c r="A59" s="139">
        <v>12</v>
      </c>
      <c r="B59" s="140">
        <v>43647</v>
      </c>
      <c r="C59" s="141" t="s">
        <v>499</v>
      </c>
      <c r="D59" s="139">
        <v>5076001</v>
      </c>
      <c r="E59" s="141" t="s">
        <v>500</v>
      </c>
      <c r="F59" s="136">
        <v>3198199.03</v>
      </c>
      <c r="G59" s="136">
        <v>1886937.42</v>
      </c>
      <c r="H59" s="136">
        <f t="shared" si="0"/>
        <v>70264.71142218627</v>
      </c>
      <c r="I59" s="136">
        <v>21762.58</v>
      </c>
      <c r="J59" s="136">
        <v>2589.5</v>
      </c>
      <c r="K59" s="136">
        <v>787.21</v>
      </c>
      <c r="L59" s="136">
        <f t="shared" si="10"/>
        <v>1240.681416596214</v>
      </c>
      <c r="M59" s="136">
        <f t="shared" si="10"/>
        <v>19454.00490940067</v>
      </c>
      <c r="N59" s="136">
        <f t="shared" si="10"/>
        <v>24430.735096189383</v>
      </c>
      <c r="O59" s="136">
        <f t="shared" si="4"/>
        <v>3127934.3185778135</v>
      </c>
      <c r="P59" s="142"/>
      <c r="Q59" s="139"/>
    </row>
    <row r="60" spans="1:17" s="172" customFormat="1" ht="15">
      <c r="A60" s="139">
        <v>13</v>
      </c>
      <c r="B60" s="140">
        <v>43647</v>
      </c>
      <c r="C60" s="141" t="s">
        <v>501</v>
      </c>
      <c r="D60" s="139">
        <v>5389001</v>
      </c>
      <c r="E60" s="141" t="s">
        <v>502</v>
      </c>
      <c r="F60" s="136">
        <v>550</v>
      </c>
      <c r="G60" s="136">
        <v>550</v>
      </c>
      <c r="H60" s="125">
        <f t="shared" si="0"/>
        <v>2037.4457990602205</v>
      </c>
      <c r="I60" s="136">
        <v>420.98</v>
      </c>
      <c r="J60" s="136">
        <v>570.21</v>
      </c>
      <c r="K60" s="136">
        <v>173.34</v>
      </c>
      <c r="L60" s="136">
        <f t="shared" si="10"/>
        <v>24.00000655982306</v>
      </c>
      <c r="M60" s="136">
        <f t="shared" si="10"/>
        <v>376.322429912239</v>
      </c>
      <c r="N60" s="136">
        <f t="shared" si="10"/>
        <v>472.59336258815847</v>
      </c>
      <c r="O60" s="136">
        <f t="shared" si="4"/>
        <v>-1487.4457990602205</v>
      </c>
      <c r="P60" s="142"/>
      <c r="Q60" s="139"/>
    </row>
    <row r="61" spans="1:17" s="172" customFormat="1" ht="15">
      <c r="A61" s="139">
        <v>14</v>
      </c>
      <c r="B61" s="140">
        <v>43647</v>
      </c>
      <c r="C61" s="141" t="s">
        <v>326</v>
      </c>
      <c r="D61" s="139">
        <v>3761002</v>
      </c>
      <c r="E61" s="141" t="s">
        <v>503</v>
      </c>
      <c r="F61" s="136">
        <v>550</v>
      </c>
      <c r="G61" s="136">
        <v>550</v>
      </c>
      <c r="H61" s="125">
        <f t="shared" si="0"/>
        <v>2037.4457990602205</v>
      </c>
      <c r="I61" s="136">
        <v>420.98</v>
      </c>
      <c r="J61" s="136">
        <v>570.21</v>
      </c>
      <c r="K61" s="136">
        <v>173.34</v>
      </c>
      <c r="L61" s="136">
        <f t="shared" si="10"/>
        <v>24.00000655982306</v>
      </c>
      <c r="M61" s="136">
        <f t="shared" si="10"/>
        <v>376.322429912239</v>
      </c>
      <c r="N61" s="136">
        <f t="shared" si="10"/>
        <v>472.59336258815847</v>
      </c>
      <c r="O61" s="136">
        <f t="shared" si="4"/>
        <v>-1487.4457990602205</v>
      </c>
      <c r="P61" s="142"/>
      <c r="Q61" s="139"/>
    </row>
    <row r="62" spans="1:17" s="172" customFormat="1" ht="15">
      <c r="A62" s="139">
        <v>15</v>
      </c>
      <c r="B62" s="140">
        <v>43647</v>
      </c>
      <c r="C62" s="141" t="s">
        <v>504</v>
      </c>
      <c r="D62" s="139">
        <v>5349001</v>
      </c>
      <c r="E62" s="141" t="s">
        <v>505</v>
      </c>
      <c r="F62" s="136">
        <v>550</v>
      </c>
      <c r="G62" s="136">
        <v>550</v>
      </c>
      <c r="H62" s="125">
        <f t="shared" si="0"/>
        <v>2037.4457990602205</v>
      </c>
      <c r="I62" s="136">
        <v>420.98</v>
      </c>
      <c r="J62" s="136">
        <v>570.21</v>
      </c>
      <c r="K62" s="136">
        <v>173.34</v>
      </c>
      <c r="L62" s="136">
        <f t="shared" si="10"/>
        <v>24.00000655982306</v>
      </c>
      <c r="M62" s="136">
        <f t="shared" si="10"/>
        <v>376.322429912239</v>
      </c>
      <c r="N62" s="136">
        <f t="shared" si="10"/>
        <v>472.59336258815847</v>
      </c>
      <c r="O62" s="136">
        <f t="shared" si="4"/>
        <v>-1487.4457990602205</v>
      </c>
      <c r="P62" s="142"/>
      <c r="Q62" s="139"/>
    </row>
    <row r="63" spans="1:17" s="172" customFormat="1" ht="15">
      <c r="A63" s="139">
        <v>16</v>
      </c>
      <c r="B63" s="140">
        <v>43647</v>
      </c>
      <c r="C63" s="141" t="s">
        <v>506</v>
      </c>
      <c r="D63" s="139">
        <v>5385001</v>
      </c>
      <c r="E63" s="141" t="s">
        <v>507</v>
      </c>
      <c r="F63" s="136">
        <v>550</v>
      </c>
      <c r="G63" s="136">
        <v>550</v>
      </c>
      <c r="H63" s="125">
        <f t="shared" si="0"/>
        <v>1655.282742251945</v>
      </c>
      <c r="I63" s="136">
        <v>296.64</v>
      </c>
      <c r="J63" s="136">
        <v>570.21</v>
      </c>
      <c r="K63" s="136">
        <v>173.34</v>
      </c>
      <c r="L63" s="136">
        <f t="shared" si="10"/>
        <v>16.911401838343654</v>
      </c>
      <c r="M63" s="136">
        <f t="shared" si="10"/>
        <v>265.172420564318</v>
      </c>
      <c r="N63" s="136">
        <f t="shared" si="10"/>
        <v>333.0089198492834</v>
      </c>
      <c r="O63" s="136">
        <f t="shared" si="4"/>
        <v>-1105.282742251945</v>
      </c>
      <c r="P63" s="142"/>
      <c r="Q63" s="139"/>
    </row>
    <row r="64" spans="1:17" s="172" customFormat="1" ht="15">
      <c r="A64" s="143"/>
      <c r="B64" s="144">
        <v>43647</v>
      </c>
      <c r="C64" s="145"/>
      <c r="D64" s="143"/>
      <c r="E64" s="145"/>
      <c r="F64" s="125">
        <f>SUM(F48:F63)</f>
        <v>3223193.94</v>
      </c>
      <c r="G64" s="125">
        <f>SUM(G48:G63)</f>
        <v>1911932.3299999998</v>
      </c>
      <c r="H64" s="125">
        <f>SUM(I64:N64)</f>
        <v>103271.23999999999</v>
      </c>
      <c r="I64" s="125">
        <f>SUM(I48:I63)</f>
        <v>28872.73</v>
      </c>
      <c r="J64" s="125">
        <f>SUM(J48:J63)</f>
        <v>11142.649999999998</v>
      </c>
      <c r="K64" s="125">
        <f>SUM(K48:K63)</f>
        <v>3387.3100000000004</v>
      </c>
      <c r="L64" s="125">
        <v>1646.03</v>
      </c>
      <c r="M64" s="125">
        <f>7334.44+18500-24.53</f>
        <v>25809.91</v>
      </c>
      <c r="N64" s="125">
        <f>34058.64-1646.03</f>
        <v>32412.61</v>
      </c>
      <c r="O64" s="125">
        <f t="shared" si="4"/>
        <v>3119922.7</v>
      </c>
      <c r="P64" s="146"/>
      <c r="Q64" s="143"/>
    </row>
    <row r="65" spans="1:17" s="172" customFormat="1" ht="15">
      <c r="A65" s="139">
        <v>1</v>
      </c>
      <c r="B65" s="140">
        <v>43678</v>
      </c>
      <c r="C65" s="141" t="s">
        <v>508</v>
      </c>
      <c r="D65" s="139">
        <v>4259005</v>
      </c>
      <c r="E65" s="141" t="s">
        <v>509</v>
      </c>
      <c r="F65" s="136">
        <v>16689.71</v>
      </c>
      <c r="G65" s="136">
        <v>13908.09</v>
      </c>
      <c r="H65" s="129">
        <f t="shared" si="0"/>
        <v>20094.004405040163</v>
      </c>
      <c r="I65" s="136">
        <v>962.57</v>
      </c>
      <c r="J65" s="136">
        <v>570.21</v>
      </c>
      <c r="K65" s="136">
        <v>173.34</v>
      </c>
      <c r="L65" s="136">
        <f>$I65/$I$72*L$72</f>
        <v>528.5684685475626</v>
      </c>
      <c r="M65" s="136">
        <f>$I65/$I$72*M$72</f>
        <v>339.54733970405283</v>
      </c>
      <c r="N65" s="136">
        <f>$I65/$I$72*N$72</f>
        <v>17519.768596788548</v>
      </c>
      <c r="O65" s="136">
        <f t="shared" si="4"/>
        <v>-3404.294405040164</v>
      </c>
      <c r="P65" s="127"/>
      <c r="Q65" s="128"/>
    </row>
    <row r="66" spans="1:17" s="172" customFormat="1" ht="15">
      <c r="A66" s="139">
        <v>2</v>
      </c>
      <c r="B66" s="140">
        <v>43678</v>
      </c>
      <c r="C66" s="141" t="s">
        <v>340</v>
      </c>
      <c r="D66" s="139">
        <v>5277001</v>
      </c>
      <c r="E66" s="141" t="s">
        <v>510</v>
      </c>
      <c r="F66" s="136">
        <v>550</v>
      </c>
      <c r="G66" s="136">
        <v>550</v>
      </c>
      <c r="H66" s="125">
        <f t="shared" si="0"/>
        <v>16293.751020113565</v>
      </c>
      <c r="I66" s="136">
        <v>773.53</v>
      </c>
      <c r="J66" s="136">
        <v>570.21</v>
      </c>
      <c r="K66" s="136">
        <v>173.34</v>
      </c>
      <c r="L66" s="136">
        <f aca="true" t="shared" si="11" ref="L66:N71">$I66/$I$72*L$72</f>
        <v>424.76242504503153</v>
      </c>
      <c r="M66" s="136">
        <f t="shared" si="11"/>
        <v>272.86332805019475</v>
      </c>
      <c r="N66" s="136">
        <f t="shared" si="11"/>
        <v>14079.045267018339</v>
      </c>
      <c r="O66" s="136">
        <f t="shared" si="4"/>
        <v>-15743.751020113565</v>
      </c>
      <c r="P66" s="142"/>
      <c r="Q66" s="139"/>
    </row>
    <row r="67" spans="1:17" s="172" customFormat="1" ht="15">
      <c r="A67" s="139">
        <v>3</v>
      </c>
      <c r="B67" s="140">
        <v>43678</v>
      </c>
      <c r="C67" s="141" t="s">
        <v>511</v>
      </c>
      <c r="D67" s="139">
        <v>5394001</v>
      </c>
      <c r="E67" s="141" t="s">
        <v>512</v>
      </c>
      <c r="F67" s="136">
        <v>550</v>
      </c>
      <c r="G67" s="136">
        <v>550</v>
      </c>
      <c r="H67" s="125">
        <f t="shared" si="0"/>
        <v>23326.350690283216</v>
      </c>
      <c r="I67" s="136">
        <v>1123.36</v>
      </c>
      <c r="J67" s="136">
        <v>570.21</v>
      </c>
      <c r="K67" s="136">
        <v>173.34</v>
      </c>
      <c r="L67" s="136">
        <f t="shared" si="11"/>
        <v>616.8618124682774</v>
      </c>
      <c r="M67" s="136">
        <f t="shared" si="11"/>
        <v>396.2661411948687</v>
      </c>
      <c r="N67" s="136">
        <f t="shared" si="11"/>
        <v>20446.312736620068</v>
      </c>
      <c r="O67" s="136">
        <f t="shared" si="4"/>
        <v>-22776.350690283216</v>
      </c>
      <c r="P67" s="142"/>
      <c r="Q67" s="139"/>
    </row>
    <row r="68" spans="1:17" s="172" customFormat="1" ht="15">
      <c r="A68" s="139">
        <v>4</v>
      </c>
      <c r="B68" s="140">
        <v>43678</v>
      </c>
      <c r="C68" s="141" t="s">
        <v>513</v>
      </c>
      <c r="D68" s="139">
        <v>5280001</v>
      </c>
      <c r="E68" s="141" t="s">
        <v>514</v>
      </c>
      <c r="F68" s="136">
        <v>550</v>
      </c>
      <c r="G68" s="136">
        <v>550</v>
      </c>
      <c r="H68" s="125">
        <f t="shared" si="0"/>
        <v>23326.350690283216</v>
      </c>
      <c r="I68" s="136">
        <v>1123.36</v>
      </c>
      <c r="J68" s="136">
        <v>570.21</v>
      </c>
      <c r="K68" s="136">
        <v>173.34</v>
      </c>
      <c r="L68" s="136">
        <f t="shared" si="11"/>
        <v>616.8618124682774</v>
      </c>
      <c r="M68" s="136">
        <f t="shared" si="11"/>
        <v>396.2661411948687</v>
      </c>
      <c r="N68" s="136">
        <f t="shared" si="11"/>
        <v>20446.312736620068</v>
      </c>
      <c r="O68" s="136">
        <f t="shared" si="4"/>
        <v>-22776.350690283216</v>
      </c>
      <c r="P68" s="142"/>
      <c r="Q68" s="139"/>
    </row>
    <row r="69" spans="1:17" s="172" customFormat="1" ht="15">
      <c r="A69" s="139">
        <v>5</v>
      </c>
      <c r="B69" s="140">
        <v>43678</v>
      </c>
      <c r="C69" s="141" t="s">
        <v>515</v>
      </c>
      <c r="D69" s="139">
        <v>5403001</v>
      </c>
      <c r="E69" s="141" t="s">
        <v>516</v>
      </c>
      <c r="F69" s="136">
        <v>550</v>
      </c>
      <c r="G69" s="136">
        <v>550</v>
      </c>
      <c r="H69" s="125">
        <f t="shared" si="0"/>
        <v>16293.751020113565</v>
      </c>
      <c r="I69" s="136">
        <v>773.53</v>
      </c>
      <c r="J69" s="136">
        <v>570.21</v>
      </c>
      <c r="K69" s="136">
        <v>173.34</v>
      </c>
      <c r="L69" s="136">
        <f t="shared" si="11"/>
        <v>424.76242504503153</v>
      </c>
      <c r="M69" s="136">
        <f t="shared" si="11"/>
        <v>272.86332805019475</v>
      </c>
      <c r="N69" s="136">
        <f t="shared" si="11"/>
        <v>14079.045267018339</v>
      </c>
      <c r="O69" s="136">
        <f t="shared" si="4"/>
        <v>-15743.751020113565</v>
      </c>
      <c r="P69" s="142"/>
      <c r="Q69" s="139"/>
    </row>
    <row r="70" spans="1:17" s="172" customFormat="1" ht="15">
      <c r="A70" s="139">
        <v>6</v>
      </c>
      <c r="B70" s="140">
        <v>43678</v>
      </c>
      <c r="C70" s="141" t="s">
        <v>231</v>
      </c>
      <c r="D70" s="139">
        <v>846097</v>
      </c>
      <c r="E70" s="141"/>
      <c r="F70" s="136">
        <v>17294.9</v>
      </c>
      <c r="G70" s="136">
        <v>17294.9</v>
      </c>
      <c r="H70" s="129">
        <f t="shared" si="0"/>
        <v>38254.04197056146</v>
      </c>
      <c r="I70" s="136">
        <v>1847.43</v>
      </c>
      <c r="J70" s="136">
        <v>855.31</v>
      </c>
      <c r="K70" s="136">
        <v>260.02</v>
      </c>
      <c r="L70" s="136">
        <f t="shared" si="11"/>
        <v>1014.4646579976765</v>
      </c>
      <c r="M70" s="136">
        <f t="shared" si="11"/>
        <v>651.6824145666894</v>
      </c>
      <c r="N70" s="136">
        <f t="shared" si="11"/>
        <v>33625.13489799709</v>
      </c>
      <c r="O70" s="136">
        <f t="shared" si="4"/>
        <v>-20959.14197056146</v>
      </c>
      <c r="P70" s="142">
        <v>0.04</v>
      </c>
      <c r="Q70" s="139" t="s">
        <v>292</v>
      </c>
    </row>
    <row r="71" spans="1:17" s="172" customFormat="1" ht="15">
      <c r="A71" s="139">
        <v>7</v>
      </c>
      <c r="B71" s="140">
        <v>43678</v>
      </c>
      <c r="C71" s="141" t="s">
        <v>517</v>
      </c>
      <c r="D71" s="139">
        <v>5293001</v>
      </c>
      <c r="E71" s="141" t="s">
        <v>518</v>
      </c>
      <c r="F71" s="136">
        <v>550</v>
      </c>
      <c r="G71" s="136">
        <v>550</v>
      </c>
      <c r="H71" s="125">
        <f t="shared" si="0"/>
        <v>58497.390203604846</v>
      </c>
      <c r="I71" s="136">
        <v>2872.91</v>
      </c>
      <c r="J71" s="136">
        <v>570.21</v>
      </c>
      <c r="K71" s="136">
        <v>173.34</v>
      </c>
      <c r="L71" s="136">
        <f t="shared" si="11"/>
        <v>1577.5783984281431</v>
      </c>
      <c r="M71" s="136">
        <f t="shared" si="11"/>
        <v>1013.4213072391309</v>
      </c>
      <c r="N71" s="136">
        <f t="shared" si="11"/>
        <v>52289.930497937574</v>
      </c>
      <c r="O71" s="136">
        <f t="shared" si="4"/>
        <v>-57947.390203604846</v>
      </c>
      <c r="P71" s="142"/>
      <c r="Q71" s="139"/>
    </row>
    <row r="72" spans="1:17" s="172" customFormat="1" ht="15">
      <c r="A72" s="143"/>
      <c r="B72" s="144">
        <v>43678</v>
      </c>
      <c r="C72" s="145"/>
      <c r="D72" s="143"/>
      <c r="E72" s="145"/>
      <c r="F72" s="125">
        <f>SUM(F65:F71)</f>
        <v>36734.61</v>
      </c>
      <c r="G72" s="125">
        <f>SUM(G65:G71)</f>
        <v>33952.990000000005</v>
      </c>
      <c r="H72" s="125">
        <f t="shared" si="0"/>
        <v>196085.64</v>
      </c>
      <c r="I72" s="125">
        <f>SUM(I65:I71)</f>
        <v>9476.689999999999</v>
      </c>
      <c r="J72" s="125">
        <f>SUM(J65:J71)</f>
        <v>4276.57</v>
      </c>
      <c r="K72" s="125">
        <f>SUM(K65:K71)</f>
        <v>1300.06</v>
      </c>
      <c r="L72" s="125">
        <v>5203.86</v>
      </c>
      <c r="M72" s="125">
        <f>3342.87+0.04</f>
        <v>3342.91</v>
      </c>
      <c r="N72" s="125">
        <f>177689.41-5203.86</f>
        <v>172485.55000000002</v>
      </c>
      <c r="O72" s="125">
        <f t="shared" si="4"/>
        <v>-159351.03000000003</v>
      </c>
      <c r="P72" s="146"/>
      <c r="Q72" s="143"/>
    </row>
    <row r="73" spans="1:17" s="172" customFormat="1" ht="30">
      <c r="A73" s="139">
        <v>1</v>
      </c>
      <c r="B73" s="140">
        <v>43709</v>
      </c>
      <c r="C73" s="141" t="s">
        <v>231</v>
      </c>
      <c r="D73" s="139">
        <v>846108</v>
      </c>
      <c r="E73" s="141" t="s">
        <v>519</v>
      </c>
      <c r="F73" s="136">
        <v>17294.9</v>
      </c>
      <c r="G73" s="136">
        <v>17294.9</v>
      </c>
      <c r="H73" s="129">
        <f t="shared" si="0"/>
        <v>37782.02807006157</v>
      </c>
      <c r="I73" s="136">
        <f>2271.82+7850.28</f>
        <v>10122.1</v>
      </c>
      <c r="J73" s="136">
        <f>$I73/$I$80*J$80</f>
        <v>2787.8537470285387</v>
      </c>
      <c r="K73" s="136">
        <f>$I73/$I$80*K$80</f>
        <v>847.5191388382008</v>
      </c>
      <c r="L73" s="136">
        <f>$I73/$I$80*L$80</f>
        <v>758.830895501221</v>
      </c>
      <c r="M73" s="136">
        <f>$I73/$I$80*M$80</f>
        <v>2213.4842102704893</v>
      </c>
      <c r="N73" s="136">
        <f>$I73/$I$80*N$80</f>
        <v>21052.240078423118</v>
      </c>
      <c r="O73" s="136">
        <f t="shared" si="4"/>
        <v>-20487.128070061568</v>
      </c>
      <c r="P73" s="142">
        <v>0.13</v>
      </c>
      <c r="Q73" s="139" t="s">
        <v>292</v>
      </c>
    </row>
    <row r="74" spans="1:17" s="172" customFormat="1" ht="15">
      <c r="A74" s="139">
        <v>2</v>
      </c>
      <c r="B74" s="140">
        <v>43709</v>
      </c>
      <c r="C74" s="141" t="s">
        <v>348</v>
      </c>
      <c r="D74" s="139">
        <v>4896004</v>
      </c>
      <c r="E74" s="141" t="s">
        <v>520</v>
      </c>
      <c r="F74" s="136">
        <v>17294.91</v>
      </c>
      <c r="G74" s="136">
        <v>17294.91</v>
      </c>
      <c r="H74" s="129">
        <f t="shared" si="0"/>
        <v>21775.364552300853</v>
      </c>
      <c r="I74" s="136">
        <v>5833.79</v>
      </c>
      <c r="J74" s="136">
        <f aca="true" t="shared" si="12" ref="J74:N79">$I74/$I$80*J$80</f>
        <v>1606.7568301911283</v>
      </c>
      <c r="K74" s="136">
        <f t="shared" si="12"/>
        <v>488.46076179477654</v>
      </c>
      <c r="L74" s="136">
        <f t="shared" si="12"/>
        <v>437.3460141537891</v>
      </c>
      <c r="M74" s="136">
        <f t="shared" si="12"/>
        <v>1275.7236197067682</v>
      </c>
      <c r="N74" s="136">
        <f t="shared" si="12"/>
        <v>12133.287326454392</v>
      </c>
      <c r="O74" s="136">
        <f t="shared" si="4"/>
        <v>-4480.454552300853</v>
      </c>
      <c r="P74" s="152"/>
      <c r="Q74" s="153"/>
    </row>
    <row r="75" spans="1:17" s="172" customFormat="1" ht="15">
      <c r="A75" s="139">
        <v>3</v>
      </c>
      <c r="B75" s="140">
        <v>43709</v>
      </c>
      <c r="C75" s="141" t="s">
        <v>343</v>
      </c>
      <c r="D75" s="139">
        <v>5248003</v>
      </c>
      <c r="E75" s="141" t="s">
        <v>521</v>
      </c>
      <c r="F75" s="136">
        <v>16689.71</v>
      </c>
      <c r="G75" s="136">
        <v>16689.71</v>
      </c>
      <c r="H75" s="129">
        <f t="shared" si="0"/>
        <v>65101.98670623754</v>
      </c>
      <c r="I75" s="136">
        <v>17441.33</v>
      </c>
      <c r="J75" s="136">
        <f t="shared" si="12"/>
        <v>4803.734125691434</v>
      </c>
      <c r="K75" s="136">
        <f t="shared" si="12"/>
        <v>1460.3551616554746</v>
      </c>
      <c r="L75" s="136">
        <f t="shared" si="12"/>
        <v>1307.5369797405986</v>
      </c>
      <c r="M75" s="136">
        <f t="shared" si="12"/>
        <v>3814.0414104896213</v>
      </c>
      <c r="N75" s="136">
        <f t="shared" si="12"/>
        <v>36274.98902866041</v>
      </c>
      <c r="O75" s="136">
        <f t="shared" si="4"/>
        <v>-48412.27670623754</v>
      </c>
      <c r="P75" s="127"/>
      <c r="Q75" s="128"/>
    </row>
    <row r="76" spans="1:17" s="172" customFormat="1" ht="15">
      <c r="A76" s="139">
        <v>4</v>
      </c>
      <c r="B76" s="140">
        <v>43709</v>
      </c>
      <c r="C76" s="141" t="s">
        <v>522</v>
      </c>
      <c r="D76" s="139">
        <v>5221001</v>
      </c>
      <c r="E76" s="141" t="s">
        <v>523</v>
      </c>
      <c r="F76" s="136">
        <v>550</v>
      </c>
      <c r="G76" s="136">
        <v>550</v>
      </c>
      <c r="H76" s="125">
        <f aca="true" t="shared" si="13" ref="H76:H85">SUM(I76:N76)</f>
        <v>1471.737667850009</v>
      </c>
      <c r="I76" s="136">
        <v>394.29</v>
      </c>
      <c r="J76" s="136">
        <f t="shared" si="12"/>
        <v>108.5963242722244</v>
      </c>
      <c r="K76" s="136">
        <f t="shared" si="12"/>
        <v>33.013734427886924</v>
      </c>
      <c r="L76" s="136">
        <f t="shared" si="12"/>
        <v>29.55902765109774</v>
      </c>
      <c r="M76" s="136">
        <f t="shared" si="12"/>
        <v>86.22268988328027</v>
      </c>
      <c r="N76" s="136">
        <f t="shared" si="12"/>
        <v>820.0558916155197</v>
      </c>
      <c r="O76" s="136">
        <f t="shared" si="4"/>
        <v>-921.7376678500091</v>
      </c>
      <c r="P76" s="142"/>
      <c r="Q76" s="139"/>
    </row>
    <row r="77" spans="1:17" s="172" customFormat="1" ht="15">
      <c r="A77" s="139">
        <v>5</v>
      </c>
      <c r="B77" s="140">
        <v>43709</v>
      </c>
      <c r="C77" s="141" t="s">
        <v>524</v>
      </c>
      <c r="D77" s="139">
        <v>5069001</v>
      </c>
      <c r="E77" s="141" t="s">
        <v>525</v>
      </c>
      <c r="F77" s="136">
        <v>550</v>
      </c>
      <c r="G77" s="136">
        <v>550</v>
      </c>
      <c r="H77" s="125">
        <f t="shared" si="13"/>
        <v>1471.737667850009</v>
      </c>
      <c r="I77" s="136">
        <v>394.29</v>
      </c>
      <c r="J77" s="136">
        <f t="shared" si="12"/>
        <v>108.5963242722244</v>
      </c>
      <c r="K77" s="136">
        <f t="shared" si="12"/>
        <v>33.013734427886924</v>
      </c>
      <c r="L77" s="136">
        <f t="shared" si="12"/>
        <v>29.55902765109774</v>
      </c>
      <c r="M77" s="136">
        <f t="shared" si="12"/>
        <v>86.22268988328027</v>
      </c>
      <c r="N77" s="136">
        <f t="shared" si="12"/>
        <v>820.0558916155197</v>
      </c>
      <c r="O77" s="136">
        <f aca="true" t="shared" si="14" ref="O77:O112">F77-H77</f>
        <v>-921.7376678500091</v>
      </c>
      <c r="P77" s="142"/>
      <c r="Q77" s="139"/>
    </row>
    <row r="78" spans="1:17" s="172" customFormat="1" ht="15">
      <c r="A78" s="139">
        <v>6</v>
      </c>
      <c r="B78" s="140">
        <v>43709</v>
      </c>
      <c r="C78" s="141" t="s">
        <v>526</v>
      </c>
      <c r="D78" s="139">
        <v>4790001</v>
      </c>
      <c r="E78" s="141" t="s">
        <v>527</v>
      </c>
      <c r="F78" s="136">
        <v>550</v>
      </c>
      <c r="G78" s="136">
        <v>550</v>
      </c>
      <c r="H78" s="125">
        <f t="shared" si="13"/>
        <v>1471.737667850009</v>
      </c>
      <c r="I78" s="136">
        <v>394.29</v>
      </c>
      <c r="J78" s="136">
        <f t="shared" si="12"/>
        <v>108.5963242722244</v>
      </c>
      <c r="K78" s="136">
        <f t="shared" si="12"/>
        <v>33.013734427886924</v>
      </c>
      <c r="L78" s="136">
        <f t="shared" si="12"/>
        <v>29.55902765109774</v>
      </c>
      <c r="M78" s="136">
        <f t="shared" si="12"/>
        <v>86.22268988328027</v>
      </c>
      <c r="N78" s="136">
        <f t="shared" si="12"/>
        <v>820.0558916155197</v>
      </c>
      <c r="O78" s="136">
        <f t="shared" si="14"/>
        <v>-921.7376678500091</v>
      </c>
      <c r="P78" s="142"/>
      <c r="Q78" s="139"/>
    </row>
    <row r="79" spans="1:17" s="172" customFormat="1" ht="15">
      <c r="A79" s="139">
        <v>7</v>
      </c>
      <c r="B79" s="140">
        <v>43709</v>
      </c>
      <c r="C79" s="154" t="s">
        <v>528</v>
      </c>
      <c r="D79" s="139">
        <v>5416001</v>
      </c>
      <c r="E79" s="139" t="s">
        <v>529</v>
      </c>
      <c r="F79" s="136">
        <v>550</v>
      </c>
      <c r="G79" s="136">
        <v>550</v>
      </c>
      <c r="H79" s="125">
        <f t="shared" si="13"/>
        <v>1471.737667850009</v>
      </c>
      <c r="I79" s="136">
        <v>394.29</v>
      </c>
      <c r="J79" s="136">
        <f t="shared" si="12"/>
        <v>108.5963242722244</v>
      </c>
      <c r="K79" s="136">
        <f t="shared" si="12"/>
        <v>33.013734427886924</v>
      </c>
      <c r="L79" s="136">
        <f t="shared" si="12"/>
        <v>29.55902765109774</v>
      </c>
      <c r="M79" s="136">
        <f t="shared" si="12"/>
        <v>86.22268988328027</v>
      </c>
      <c r="N79" s="136">
        <f t="shared" si="12"/>
        <v>820.0558916155197</v>
      </c>
      <c r="O79" s="136">
        <f t="shared" si="14"/>
        <v>-921.7376678500091</v>
      </c>
      <c r="P79" s="142"/>
      <c r="Q79" s="139"/>
    </row>
    <row r="80" spans="1:17" s="172" customFormat="1" ht="15">
      <c r="A80" s="143"/>
      <c r="B80" s="144">
        <v>43709</v>
      </c>
      <c r="C80" s="143"/>
      <c r="D80" s="143"/>
      <c r="E80" s="143"/>
      <c r="F80" s="125">
        <f>SUM(F73:F79)</f>
        <v>53479.52</v>
      </c>
      <c r="G80" s="125">
        <f>SUM(G73:G79)</f>
        <v>53479.52</v>
      </c>
      <c r="H80" s="125">
        <f t="shared" si="13"/>
        <v>130546.33</v>
      </c>
      <c r="I80" s="125">
        <f>SUM(I73:I79)</f>
        <v>34974.380000000005</v>
      </c>
      <c r="J80" s="125">
        <v>9632.73</v>
      </c>
      <c r="K80" s="125">
        <v>2928.39</v>
      </c>
      <c r="L80" s="125">
        <f>2621.95</f>
        <v>2621.95</v>
      </c>
      <c r="M80" s="125">
        <f>7648.14</f>
        <v>7648.14</v>
      </c>
      <c r="N80" s="125">
        <f>75362.69-2621.95</f>
        <v>72740.74</v>
      </c>
      <c r="O80" s="125">
        <f t="shared" si="14"/>
        <v>-77066.81</v>
      </c>
      <c r="P80" s="146"/>
      <c r="Q80" s="143"/>
    </row>
    <row r="81" spans="1:17" s="172" customFormat="1" ht="15">
      <c r="A81" s="147"/>
      <c r="B81" s="148"/>
      <c r="C81" s="147" t="s">
        <v>530</v>
      </c>
      <c r="D81" s="147"/>
      <c r="E81" s="147"/>
      <c r="F81" s="150">
        <f>F47+F64+F72+F80</f>
        <v>7347752.93</v>
      </c>
      <c r="G81" s="150">
        <f>G47+G64+G72+G80</f>
        <v>2137360.5599999996</v>
      </c>
      <c r="H81" s="150">
        <f t="shared" si="13"/>
        <v>1029782.76</v>
      </c>
      <c r="I81" s="150">
        <f aca="true" t="shared" si="15" ref="I81:N81">I47+I64+I72+I80</f>
        <v>164351.58</v>
      </c>
      <c r="J81" s="150">
        <f t="shared" si="15"/>
        <v>109841.99999999999</v>
      </c>
      <c r="K81" s="150">
        <f t="shared" si="15"/>
        <v>33391.840000000004</v>
      </c>
      <c r="L81" s="150">
        <f t="shared" si="15"/>
        <v>27018.28</v>
      </c>
      <c r="M81" s="150">
        <f t="shared" si="15"/>
        <v>90180.2</v>
      </c>
      <c r="N81" s="150">
        <f t="shared" si="15"/>
        <v>604998.86</v>
      </c>
      <c r="O81" s="150">
        <f t="shared" si="14"/>
        <v>6317970.17</v>
      </c>
      <c r="P81" s="151"/>
      <c r="Q81" s="147"/>
    </row>
    <row r="82" spans="1:17" s="172" customFormat="1" ht="15">
      <c r="A82" s="139">
        <v>1</v>
      </c>
      <c r="B82" s="140">
        <v>43739</v>
      </c>
      <c r="C82" s="141" t="s">
        <v>531</v>
      </c>
      <c r="D82" s="139">
        <v>5260001</v>
      </c>
      <c r="E82" s="141" t="s">
        <v>532</v>
      </c>
      <c r="F82" s="136">
        <v>3949851.54</v>
      </c>
      <c r="G82" s="136">
        <v>2843893.1</v>
      </c>
      <c r="H82" s="136">
        <f t="shared" si="13"/>
        <v>48825.262050295256</v>
      </c>
      <c r="I82" s="136">
        <v>15450</v>
      </c>
      <c r="J82" s="136">
        <v>4347.24</v>
      </c>
      <c r="K82" s="136">
        <v>1321.56</v>
      </c>
      <c r="L82" s="136">
        <f>$I82/$I$95*L$95</f>
        <v>1234.0551775939766</v>
      </c>
      <c r="M82" s="136">
        <f>$I82/$I$95*M$95</f>
        <v>21052.827598078144</v>
      </c>
      <c r="N82" s="136">
        <f>$I82/$I$95*N$95</f>
        <v>5419.579274623139</v>
      </c>
      <c r="O82" s="136">
        <f t="shared" si="14"/>
        <v>3901026.277949705</v>
      </c>
      <c r="P82" s="142"/>
      <c r="Q82" s="139"/>
    </row>
    <row r="83" spans="1:17" s="172" customFormat="1" ht="15">
      <c r="A83" s="139">
        <v>2</v>
      </c>
      <c r="B83" s="140">
        <v>43739</v>
      </c>
      <c r="C83" s="139" t="s">
        <v>362</v>
      </c>
      <c r="D83" s="139">
        <v>3749001</v>
      </c>
      <c r="E83" s="139" t="s">
        <v>533</v>
      </c>
      <c r="F83" s="136">
        <v>941640</v>
      </c>
      <c r="G83" s="136">
        <v>423738</v>
      </c>
      <c r="H83" s="136">
        <f t="shared" si="13"/>
        <v>20401.00214087294</v>
      </c>
      <c r="I83" s="136">
        <v>5950.6</v>
      </c>
      <c r="J83" s="136">
        <v>2898.16</v>
      </c>
      <c r="K83" s="136">
        <v>881.04</v>
      </c>
      <c r="L83" s="136">
        <f aca="true" t="shared" si="16" ref="L83:N94">$I83/$I$95*L$95</f>
        <v>475.2989475592698</v>
      </c>
      <c r="M83" s="136">
        <f t="shared" si="16"/>
        <v>8108.540835283094</v>
      </c>
      <c r="N83" s="136">
        <f t="shared" si="16"/>
        <v>2087.36235803058</v>
      </c>
      <c r="O83" s="136">
        <f t="shared" si="14"/>
        <v>921238.997859127</v>
      </c>
      <c r="P83" s="142"/>
      <c r="Q83" s="139"/>
    </row>
    <row r="84" spans="1:17" s="172" customFormat="1" ht="30">
      <c r="A84" s="139">
        <v>3</v>
      </c>
      <c r="B84" s="140">
        <v>43739</v>
      </c>
      <c r="C84" s="139" t="s">
        <v>380</v>
      </c>
      <c r="D84" s="139">
        <v>846106</v>
      </c>
      <c r="E84" s="139" t="s">
        <v>534</v>
      </c>
      <c r="F84" s="136">
        <v>17294.9</v>
      </c>
      <c r="G84" s="136">
        <v>17294.9</v>
      </c>
      <c r="H84" s="129">
        <f t="shared" si="13"/>
        <v>29578.09974276878</v>
      </c>
      <c r="I84" s="136">
        <f>1738.6+5559.96+197.13</f>
        <v>7495.69</v>
      </c>
      <c r="J84" s="136">
        <f>4500.3+1555.57+570.21</f>
        <v>6626.08</v>
      </c>
      <c r="K84" s="136">
        <f>1368.09+472.89+173.34</f>
        <v>2014.32</v>
      </c>
      <c r="L84" s="136">
        <f t="shared" si="16"/>
        <v>598.7116539896048</v>
      </c>
      <c r="M84" s="136">
        <f t="shared" si="16"/>
        <v>10213.946232921575</v>
      </c>
      <c r="N84" s="136">
        <f t="shared" si="16"/>
        <v>2629.3518558575997</v>
      </c>
      <c r="O84" s="136">
        <f t="shared" si="14"/>
        <v>-12283.199742768778</v>
      </c>
      <c r="P84" s="155" t="s">
        <v>535</v>
      </c>
      <c r="Q84" s="141" t="s">
        <v>536</v>
      </c>
    </row>
    <row r="85" spans="1:17" s="73" customFormat="1" ht="15">
      <c r="A85" s="139">
        <v>4</v>
      </c>
      <c r="B85" s="140">
        <v>43739</v>
      </c>
      <c r="C85" s="156" t="s">
        <v>380</v>
      </c>
      <c r="D85" s="156">
        <v>846107</v>
      </c>
      <c r="E85" s="156" t="s">
        <v>537</v>
      </c>
      <c r="F85" s="157">
        <v>17294.9</v>
      </c>
      <c r="G85" s="157">
        <v>17294.9</v>
      </c>
      <c r="H85" s="158">
        <f t="shared" si="13"/>
        <v>16073.46050841078</v>
      </c>
      <c r="I85" s="157">
        <f>2694.83+394.26</f>
        <v>3089.09</v>
      </c>
      <c r="J85" s="157">
        <f>5138.93+570.21</f>
        <v>5709.14</v>
      </c>
      <c r="K85" s="157">
        <f>1562.23+173.34</f>
        <v>1735.57</v>
      </c>
      <c r="L85" s="136">
        <f t="shared" si="16"/>
        <v>246.73835006820565</v>
      </c>
      <c r="M85" s="136">
        <f t="shared" si="16"/>
        <v>4209.325514883315</v>
      </c>
      <c r="N85" s="136">
        <f t="shared" si="16"/>
        <v>1083.5966434592617</v>
      </c>
      <c r="O85" s="159">
        <f>F85-H85</f>
        <v>1221.4394915892208</v>
      </c>
      <c r="P85" s="160"/>
      <c r="Q85" s="161"/>
    </row>
    <row r="86" spans="1:17" ht="15">
      <c r="A86" s="139">
        <v>5</v>
      </c>
      <c r="B86" s="140">
        <v>43739</v>
      </c>
      <c r="C86" s="124" t="s">
        <v>538</v>
      </c>
      <c r="D86" s="124">
        <v>5450001</v>
      </c>
      <c r="E86" s="124" t="s">
        <v>539</v>
      </c>
      <c r="F86" s="112">
        <v>550</v>
      </c>
      <c r="G86" s="112">
        <v>550</v>
      </c>
      <c r="H86" s="125">
        <f aca="true" t="shared" si="17" ref="H86:H112">SUM(I86:N86)</f>
        <v>7235.588578778727</v>
      </c>
      <c r="I86" s="112">
        <f>1530.6+394.26</f>
        <v>1924.86</v>
      </c>
      <c r="J86" s="112">
        <f>855.31+570.21</f>
        <v>1425.52</v>
      </c>
      <c r="K86" s="112">
        <f>260.02+173.34</f>
        <v>433.36</v>
      </c>
      <c r="L86" s="136">
        <f t="shared" si="16"/>
        <v>153.7465015626888</v>
      </c>
      <c r="M86" s="136">
        <f t="shared" si="16"/>
        <v>2622.89616378231</v>
      </c>
      <c r="N86" s="136">
        <f t="shared" si="16"/>
        <v>675.2059134337279</v>
      </c>
      <c r="O86" s="105">
        <f t="shared" si="14"/>
        <v>-6685.588578778727</v>
      </c>
      <c r="P86" s="106"/>
      <c r="Q86" s="80"/>
    </row>
    <row r="87" spans="1:17" ht="15">
      <c r="A87" s="139">
        <v>6</v>
      </c>
      <c r="B87" s="140">
        <v>43739</v>
      </c>
      <c r="C87" s="124" t="s">
        <v>540</v>
      </c>
      <c r="D87" s="124">
        <v>5378001</v>
      </c>
      <c r="E87" s="124" t="s">
        <v>541</v>
      </c>
      <c r="F87" s="112">
        <v>550</v>
      </c>
      <c r="G87" s="112">
        <v>550</v>
      </c>
      <c r="H87" s="125">
        <f t="shared" si="17"/>
        <v>1844.8358723591848</v>
      </c>
      <c r="I87" s="112">
        <v>394.26</v>
      </c>
      <c r="J87" s="112">
        <v>570.21</v>
      </c>
      <c r="K87" s="112">
        <v>173.34</v>
      </c>
      <c r="L87" s="136">
        <f t="shared" si="16"/>
        <v>31.491171153281634</v>
      </c>
      <c r="M87" s="136">
        <f t="shared" si="16"/>
        <v>537.2354568814426</v>
      </c>
      <c r="N87" s="136">
        <f t="shared" si="16"/>
        <v>138.29924432446077</v>
      </c>
      <c r="O87" s="105">
        <f t="shared" si="14"/>
        <v>-1294.8358723591848</v>
      </c>
      <c r="P87" s="106"/>
      <c r="Q87" s="80"/>
    </row>
    <row r="88" spans="1:17" ht="15">
      <c r="A88" s="139">
        <v>7</v>
      </c>
      <c r="B88" s="140">
        <v>43739</v>
      </c>
      <c r="C88" s="124" t="s">
        <v>542</v>
      </c>
      <c r="D88" s="124">
        <v>5442001</v>
      </c>
      <c r="E88" s="124" t="s">
        <v>543</v>
      </c>
      <c r="F88" s="112">
        <v>550</v>
      </c>
      <c r="G88" s="112">
        <v>550</v>
      </c>
      <c r="H88" s="125">
        <f t="shared" si="17"/>
        <v>1844.8358723591848</v>
      </c>
      <c r="I88" s="112">
        <v>394.26</v>
      </c>
      <c r="J88" s="112">
        <v>570.21</v>
      </c>
      <c r="K88" s="112">
        <v>173.34</v>
      </c>
      <c r="L88" s="136">
        <f t="shared" si="16"/>
        <v>31.491171153281634</v>
      </c>
      <c r="M88" s="136">
        <f t="shared" si="16"/>
        <v>537.2354568814426</v>
      </c>
      <c r="N88" s="136">
        <f t="shared" si="16"/>
        <v>138.29924432446077</v>
      </c>
      <c r="O88" s="105">
        <f t="shared" si="14"/>
        <v>-1294.8358723591848</v>
      </c>
      <c r="P88" s="106"/>
      <c r="Q88" s="80"/>
    </row>
    <row r="89" spans="1:17" ht="15">
      <c r="A89" s="139">
        <v>8</v>
      </c>
      <c r="B89" s="140">
        <v>43739</v>
      </c>
      <c r="C89" s="124" t="s">
        <v>544</v>
      </c>
      <c r="D89" s="124">
        <v>5185001</v>
      </c>
      <c r="E89" s="124" t="s">
        <v>545</v>
      </c>
      <c r="F89" s="112">
        <v>550</v>
      </c>
      <c r="G89" s="112">
        <v>550</v>
      </c>
      <c r="H89" s="125">
        <f t="shared" si="17"/>
        <v>1844.8358723591848</v>
      </c>
      <c r="I89" s="112">
        <v>394.26</v>
      </c>
      <c r="J89" s="112">
        <v>570.21</v>
      </c>
      <c r="K89" s="112">
        <v>173.34</v>
      </c>
      <c r="L89" s="136">
        <f t="shared" si="16"/>
        <v>31.491171153281634</v>
      </c>
      <c r="M89" s="136">
        <f t="shared" si="16"/>
        <v>537.2354568814426</v>
      </c>
      <c r="N89" s="136">
        <f t="shared" si="16"/>
        <v>138.29924432446077</v>
      </c>
      <c r="O89" s="105">
        <f t="shared" si="14"/>
        <v>-1294.8358723591848</v>
      </c>
      <c r="P89" s="106"/>
      <c r="Q89" s="80"/>
    </row>
    <row r="90" spans="1:17" ht="15">
      <c r="A90" s="139">
        <v>9</v>
      </c>
      <c r="B90" s="140">
        <v>43739</v>
      </c>
      <c r="C90" s="124" t="s">
        <v>546</v>
      </c>
      <c r="D90" s="124">
        <v>5439001</v>
      </c>
      <c r="E90" s="124" t="s">
        <v>547</v>
      </c>
      <c r="F90" s="112">
        <v>550</v>
      </c>
      <c r="G90" s="112">
        <v>550</v>
      </c>
      <c r="H90" s="125">
        <f t="shared" si="17"/>
        <v>1844.8358723591848</v>
      </c>
      <c r="I90" s="112">
        <v>394.26</v>
      </c>
      <c r="J90" s="112">
        <v>570.21</v>
      </c>
      <c r="K90" s="112">
        <v>173.34</v>
      </c>
      <c r="L90" s="136">
        <f t="shared" si="16"/>
        <v>31.491171153281634</v>
      </c>
      <c r="M90" s="136">
        <f t="shared" si="16"/>
        <v>537.2354568814426</v>
      </c>
      <c r="N90" s="136">
        <f t="shared" si="16"/>
        <v>138.29924432446077</v>
      </c>
      <c r="O90" s="105">
        <f t="shared" si="14"/>
        <v>-1294.8358723591848</v>
      </c>
      <c r="P90" s="106"/>
      <c r="Q90" s="80"/>
    </row>
    <row r="91" spans="1:17" ht="15">
      <c r="A91" s="139">
        <v>10</v>
      </c>
      <c r="B91" s="140">
        <v>43739</v>
      </c>
      <c r="C91" s="124" t="s">
        <v>548</v>
      </c>
      <c r="D91" s="124">
        <v>5271001</v>
      </c>
      <c r="E91" s="124" t="s">
        <v>549</v>
      </c>
      <c r="F91" s="112">
        <v>550</v>
      </c>
      <c r="G91" s="112">
        <v>550</v>
      </c>
      <c r="H91" s="125">
        <f t="shared" si="17"/>
        <v>1844.8358723591848</v>
      </c>
      <c r="I91" s="112">
        <v>394.26</v>
      </c>
      <c r="J91" s="112">
        <v>570.21</v>
      </c>
      <c r="K91" s="112">
        <v>173.34</v>
      </c>
      <c r="L91" s="136">
        <f t="shared" si="16"/>
        <v>31.491171153281634</v>
      </c>
      <c r="M91" s="136">
        <f t="shared" si="16"/>
        <v>537.2354568814426</v>
      </c>
      <c r="N91" s="136">
        <f t="shared" si="16"/>
        <v>138.29924432446077</v>
      </c>
      <c r="O91" s="105">
        <f t="shared" si="14"/>
        <v>-1294.8358723591848</v>
      </c>
      <c r="P91" s="106"/>
      <c r="Q91" s="80"/>
    </row>
    <row r="92" spans="1:17" ht="15">
      <c r="A92" s="139">
        <v>11</v>
      </c>
      <c r="B92" s="140">
        <v>43739</v>
      </c>
      <c r="C92" s="124" t="s">
        <v>550</v>
      </c>
      <c r="D92" s="124">
        <v>5463001</v>
      </c>
      <c r="E92" s="124" t="s">
        <v>551</v>
      </c>
      <c r="F92" s="112">
        <v>550</v>
      </c>
      <c r="G92" s="112">
        <v>550</v>
      </c>
      <c r="H92" s="125">
        <f t="shared" si="17"/>
        <v>1844.8358723591848</v>
      </c>
      <c r="I92" s="112">
        <v>394.26</v>
      </c>
      <c r="J92" s="112">
        <v>570.21</v>
      </c>
      <c r="K92" s="112">
        <v>173.34</v>
      </c>
      <c r="L92" s="136">
        <f t="shared" si="16"/>
        <v>31.491171153281634</v>
      </c>
      <c r="M92" s="136">
        <f t="shared" si="16"/>
        <v>537.2354568814426</v>
      </c>
      <c r="N92" s="136">
        <f t="shared" si="16"/>
        <v>138.29924432446077</v>
      </c>
      <c r="O92" s="105">
        <f t="shared" si="14"/>
        <v>-1294.8358723591848</v>
      </c>
      <c r="P92" s="106"/>
      <c r="Q92" s="80"/>
    </row>
    <row r="93" spans="1:17" ht="15">
      <c r="A93" s="139">
        <v>12</v>
      </c>
      <c r="B93" s="140">
        <v>43739</v>
      </c>
      <c r="C93" s="124" t="s">
        <v>552</v>
      </c>
      <c r="D93" s="124">
        <v>5462001</v>
      </c>
      <c r="E93" s="124" t="s">
        <v>553</v>
      </c>
      <c r="F93" s="112">
        <v>550</v>
      </c>
      <c r="G93" s="112">
        <v>550</v>
      </c>
      <c r="H93" s="125">
        <f t="shared" si="17"/>
        <v>1844.8358723591848</v>
      </c>
      <c r="I93" s="112">
        <v>394.26</v>
      </c>
      <c r="J93" s="112">
        <v>570.21</v>
      </c>
      <c r="K93" s="112">
        <v>173.34</v>
      </c>
      <c r="L93" s="136">
        <f t="shared" si="16"/>
        <v>31.491171153281634</v>
      </c>
      <c r="M93" s="136">
        <f t="shared" si="16"/>
        <v>537.2354568814426</v>
      </c>
      <c r="N93" s="136">
        <f t="shared" si="16"/>
        <v>138.29924432446077</v>
      </c>
      <c r="O93" s="105">
        <f t="shared" si="14"/>
        <v>-1294.8358723591848</v>
      </c>
      <c r="P93" s="106"/>
      <c r="Q93" s="80"/>
    </row>
    <row r="94" spans="1:17" s="172" customFormat="1" ht="15">
      <c r="A94" s="139">
        <v>13</v>
      </c>
      <c r="B94" s="140">
        <v>43739</v>
      </c>
      <c r="C94" s="162" t="s">
        <v>554</v>
      </c>
      <c r="D94" s="162">
        <v>2760003</v>
      </c>
      <c r="E94" s="162" t="s">
        <v>555</v>
      </c>
      <c r="F94" s="134">
        <v>550</v>
      </c>
      <c r="G94" s="134">
        <v>550</v>
      </c>
      <c r="H94" s="125">
        <f t="shared" si="17"/>
        <v>1844.8358723591848</v>
      </c>
      <c r="I94" s="134">
        <v>394.26</v>
      </c>
      <c r="J94" s="134">
        <v>570.21</v>
      </c>
      <c r="K94" s="134">
        <v>173.34</v>
      </c>
      <c r="L94" s="136">
        <f t="shared" si="16"/>
        <v>31.491171153281634</v>
      </c>
      <c r="M94" s="136">
        <f t="shared" si="16"/>
        <v>537.2354568814426</v>
      </c>
      <c r="N94" s="136">
        <f t="shared" si="16"/>
        <v>138.29924432446077</v>
      </c>
      <c r="O94" s="136">
        <f t="shared" si="14"/>
        <v>-1294.8358723591848</v>
      </c>
      <c r="P94" s="142"/>
      <c r="Q94" s="139"/>
    </row>
    <row r="95" spans="1:17" s="172" customFormat="1" ht="15">
      <c r="A95" s="143"/>
      <c r="B95" s="144">
        <v>43739</v>
      </c>
      <c r="C95" s="163"/>
      <c r="D95" s="163"/>
      <c r="E95" s="163"/>
      <c r="F95" s="133">
        <f>SUM(F82:F94)</f>
        <v>4931031.340000001</v>
      </c>
      <c r="G95" s="133">
        <f>SUM(G82:G94)</f>
        <v>3307170.9</v>
      </c>
      <c r="H95" s="125">
        <f t="shared" si="17"/>
        <v>136872.23</v>
      </c>
      <c r="I95" s="133">
        <f>SUM(I82:I94)</f>
        <v>37064.320000000014</v>
      </c>
      <c r="J95" s="133">
        <f>SUM(J82:J94)</f>
        <v>25567.819999999992</v>
      </c>
      <c r="K95" s="133">
        <v>7772.7</v>
      </c>
      <c r="L95" s="143">
        <v>2960.48</v>
      </c>
      <c r="M95" s="143">
        <f>18965.9-2960.48+34500</f>
        <v>50505.42</v>
      </c>
      <c r="N95" s="143">
        <f>12201.47+800.02</f>
        <v>13001.49</v>
      </c>
      <c r="O95" s="125">
        <f t="shared" si="14"/>
        <v>4794159.11</v>
      </c>
      <c r="P95" s="146"/>
      <c r="Q95" s="143"/>
    </row>
    <row r="96" spans="1:17" s="172" customFormat="1" ht="15">
      <c r="A96" s="139">
        <v>1</v>
      </c>
      <c r="B96" s="140">
        <v>43770</v>
      </c>
      <c r="C96" s="162" t="s">
        <v>556</v>
      </c>
      <c r="D96" s="162">
        <v>5468001</v>
      </c>
      <c r="E96" s="162" t="s">
        <v>557</v>
      </c>
      <c r="F96" s="134">
        <v>17294.9</v>
      </c>
      <c r="G96" s="134">
        <v>17294.9</v>
      </c>
      <c r="H96" s="129">
        <f t="shared" si="17"/>
        <v>1025.8006234601855</v>
      </c>
      <c r="I96" s="134">
        <v>197.55</v>
      </c>
      <c r="J96" s="134">
        <v>570.21</v>
      </c>
      <c r="K96" s="134">
        <v>173.34</v>
      </c>
      <c r="L96" s="136">
        <f>$I96/$I$104*L$104</f>
        <v>4.663989446873573</v>
      </c>
      <c r="M96" s="136">
        <f>$I96/$I$104*M$104</f>
        <v>50.687859432944045</v>
      </c>
      <c r="N96" s="136">
        <f>$I96/$I$104*N$104</f>
        <v>29.348774580368055</v>
      </c>
      <c r="O96" s="136">
        <f t="shared" si="14"/>
        <v>16269.099376539816</v>
      </c>
      <c r="P96" s="127"/>
      <c r="Q96" s="128"/>
    </row>
    <row r="97" spans="1:17" s="172" customFormat="1" ht="15">
      <c r="A97" s="139">
        <v>2</v>
      </c>
      <c r="B97" s="140">
        <v>43770</v>
      </c>
      <c r="C97" s="162" t="s">
        <v>558</v>
      </c>
      <c r="D97" s="162">
        <v>5465001</v>
      </c>
      <c r="E97" s="162" t="s">
        <v>559</v>
      </c>
      <c r="F97" s="134">
        <v>550</v>
      </c>
      <c r="G97" s="134">
        <v>550</v>
      </c>
      <c r="H97" s="125">
        <f t="shared" si="17"/>
        <v>1308.0655344740774</v>
      </c>
      <c r="I97" s="134">
        <v>395.11</v>
      </c>
      <c r="J97" s="134">
        <v>570.21</v>
      </c>
      <c r="K97" s="134">
        <v>173.34</v>
      </c>
      <c r="L97" s="136">
        <f aca="true" t="shared" si="18" ref="L97:N103">$I97/$I$104*L$104</f>
        <v>9.32821498534152</v>
      </c>
      <c r="M97" s="136">
        <f t="shared" si="18"/>
        <v>101.37828469020764</v>
      </c>
      <c r="N97" s="136">
        <f t="shared" si="18"/>
        <v>58.699034798528075</v>
      </c>
      <c r="O97" s="136">
        <f t="shared" si="14"/>
        <v>-758.0655344740774</v>
      </c>
      <c r="P97" s="142"/>
      <c r="Q97" s="139"/>
    </row>
    <row r="98" spans="1:17" s="172" customFormat="1" ht="45">
      <c r="A98" s="139">
        <v>3</v>
      </c>
      <c r="B98" s="140">
        <v>43770</v>
      </c>
      <c r="C98" s="162" t="s">
        <v>231</v>
      </c>
      <c r="D98" s="162">
        <v>846105</v>
      </c>
      <c r="E98" s="141" t="s">
        <v>560</v>
      </c>
      <c r="F98" s="134">
        <v>17294.9</v>
      </c>
      <c r="G98" s="134">
        <v>17294.9</v>
      </c>
      <c r="H98" s="129">
        <f t="shared" si="17"/>
        <v>9808.061567973577</v>
      </c>
      <c r="I98" s="134">
        <v>5445.02</v>
      </c>
      <c r="J98" s="134">
        <v>1555.57</v>
      </c>
      <c r="K98" s="134">
        <v>472.89</v>
      </c>
      <c r="L98" s="136">
        <f t="shared" si="18"/>
        <v>128.55234532025077</v>
      </c>
      <c r="M98" s="136">
        <f t="shared" si="18"/>
        <v>1397.096473650058</v>
      </c>
      <c r="N98" s="136">
        <f t="shared" si="18"/>
        <v>808.9327490032683</v>
      </c>
      <c r="O98" s="136">
        <f t="shared" si="14"/>
        <v>7486.838432026425</v>
      </c>
      <c r="P98" s="142">
        <v>0.15</v>
      </c>
      <c r="Q98" s="139" t="s">
        <v>292</v>
      </c>
    </row>
    <row r="99" spans="1:17" s="172" customFormat="1" ht="45">
      <c r="A99" s="139">
        <v>4</v>
      </c>
      <c r="B99" s="140">
        <v>43770</v>
      </c>
      <c r="C99" s="162" t="s">
        <v>231</v>
      </c>
      <c r="D99" s="162">
        <v>846104</v>
      </c>
      <c r="E99" s="141" t="s">
        <v>561</v>
      </c>
      <c r="F99" s="134">
        <v>17294.9</v>
      </c>
      <c r="G99" s="134">
        <v>17294.9</v>
      </c>
      <c r="H99" s="129">
        <f t="shared" si="17"/>
        <v>9583.23262285743</v>
      </c>
      <c r="I99" s="134">
        <v>5287.66</v>
      </c>
      <c r="J99" s="134">
        <v>1555.57</v>
      </c>
      <c r="K99" s="134">
        <v>472.89</v>
      </c>
      <c r="L99" s="136">
        <f t="shared" si="18"/>
        <v>124.83720799116938</v>
      </c>
      <c r="M99" s="136">
        <f t="shared" si="18"/>
        <v>1356.7206621574326</v>
      </c>
      <c r="N99" s="136">
        <f t="shared" si="18"/>
        <v>785.5547527088277</v>
      </c>
      <c r="O99" s="136">
        <f t="shared" si="14"/>
        <v>7711.667377142572</v>
      </c>
      <c r="P99" s="142">
        <v>0.14</v>
      </c>
      <c r="Q99" s="139" t="s">
        <v>292</v>
      </c>
    </row>
    <row r="100" spans="1:17" s="172" customFormat="1" ht="45">
      <c r="A100" s="139">
        <v>5</v>
      </c>
      <c r="B100" s="140">
        <v>43770</v>
      </c>
      <c r="C100" s="162" t="s">
        <v>231</v>
      </c>
      <c r="D100" s="162">
        <v>846096</v>
      </c>
      <c r="E100" s="141" t="s">
        <v>562</v>
      </c>
      <c r="F100" s="134">
        <v>17294.9</v>
      </c>
      <c r="G100" s="134">
        <v>17294.9</v>
      </c>
      <c r="H100" s="129">
        <f t="shared" si="17"/>
        <v>6185.438038287243</v>
      </c>
      <c r="I100" s="134">
        <v>2909.51</v>
      </c>
      <c r="J100" s="134">
        <v>1555.57</v>
      </c>
      <c r="K100" s="134">
        <v>472.89</v>
      </c>
      <c r="L100" s="136">
        <f t="shared" si="18"/>
        <v>68.69108547493357</v>
      </c>
      <c r="M100" s="136">
        <f t="shared" si="18"/>
        <v>746.5291516008352</v>
      </c>
      <c r="N100" s="136">
        <f t="shared" si="18"/>
        <v>432.2478012114738</v>
      </c>
      <c r="O100" s="136">
        <f t="shared" si="14"/>
        <v>11109.461961712757</v>
      </c>
      <c r="P100" s="142">
        <v>0.08</v>
      </c>
      <c r="Q100" s="139" t="s">
        <v>292</v>
      </c>
    </row>
    <row r="101" spans="1:17" s="172" customFormat="1" ht="45">
      <c r="A101" s="139">
        <v>6</v>
      </c>
      <c r="B101" s="140">
        <v>43770</v>
      </c>
      <c r="C101" s="162" t="s">
        <v>231</v>
      </c>
      <c r="D101" s="162">
        <v>846094</v>
      </c>
      <c r="E101" s="141" t="s">
        <v>563</v>
      </c>
      <c r="F101" s="134">
        <v>17294.9</v>
      </c>
      <c r="G101" s="134">
        <v>17294.9</v>
      </c>
      <c r="H101" s="129">
        <f t="shared" si="17"/>
        <v>6620.722649491394</v>
      </c>
      <c r="I101" s="134">
        <v>3214.17</v>
      </c>
      <c r="J101" s="134">
        <v>1555.57</v>
      </c>
      <c r="K101" s="134">
        <v>472.89</v>
      </c>
      <c r="L101" s="136">
        <f t="shared" si="18"/>
        <v>75.8838519891553</v>
      </c>
      <c r="M101" s="136">
        <f t="shared" si="18"/>
        <v>824.6995553206061</v>
      </c>
      <c r="N101" s="136">
        <f t="shared" si="18"/>
        <v>477.50924218163294</v>
      </c>
      <c r="O101" s="136">
        <f t="shared" si="14"/>
        <v>10674.177350508608</v>
      </c>
      <c r="P101" s="142">
        <v>0.08</v>
      </c>
      <c r="Q101" s="139" t="s">
        <v>292</v>
      </c>
    </row>
    <row r="102" spans="1:17" s="172" customFormat="1" ht="45">
      <c r="A102" s="139">
        <v>7</v>
      </c>
      <c r="B102" s="140">
        <v>43770</v>
      </c>
      <c r="C102" s="162" t="s">
        <v>231</v>
      </c>
      <c r="D102" s="162">
        <v>846102</v>
      </c>
      <c r="E102" s="141" t="s">
        <v>564</v>
      </c>
      <c r="F102" s="134">
        <v>17294.9</v>
      </c>
      <c r="G102" s="134">
        <v>17294.9</v>
      </c>
      <c r="H102" s="129">
        <f t="shared" si="17"/>
        <v>8009.458582151813</v>
      </c>
      <c r="I102" s="134">
        <v>4186.16</v>
      </c>
      <c r="J102" s="134">
        <v>1555.57</v>
      </c>
      <c r="K102" s="134">
        <v>472.89</v>
      </c>
      <c r="L102" s="136">
        <f t="shared" si="18"/>
        <v>98.83171887078852</v>
      </c>
      <c r="M102" s="136">
        <f t="shared" si="18"/>
        <v>1074.0951133576968</v>
      </c>
      <c r="N102" s="136">
        <f t="shared" si="18"/>
        <v>621.9117499233283</v>
      </c>
      <c r="O102" s="136">
        <f t="shared" si="14"/>
        <v>9285.44141784819</v>
      </c>
      <c r="P102" s="142">
        <v>0.15</v>
      </c>
      <c r="Q102" s="139" t="s">
        <v>292</v>
      </c>
    </row>
    <row r="103" spans="1:17" s="172" customFormat="1" ht="15">
      <c r="A103" s="139">
        <v>8</v>
      </c>
      <c r="B103" s="140">
        <v>43770</v>
      </c>
      <c r="C103" s="162" t="s">
        <v>565</v>
      </c>
      <c r="D103" s="162">
        <v>4993002</v>
      </c>
      <c r="E103" s="162" t="s">
        <v>566</v>
      </c>
      <c r="F103" s="134">
        <v>550</v>
      </c>
      <c r="G103" s="134">
        <v>550</v>
      </c>
      <c r="H103" s="125">
        <f t="shared" si="17"/>
        <v>5190.640381304281</v>
      </c>
      <c r="I103" s="134">
        <v>2852.35</v>
      </c>
      <c r="J103" s="134">
        <v>855.31</v>
      </c>
      <c r="K103" s="134">
        <v>260.02</v>
      </c>
      <c r="L103" s="136">
        <f t="shared" si="18"/>
        <v>67.34158592148738</v>
      </c>
      <c r="M103" s="136">
        <f t="shared" si="18"/>
        <v>731.8628997902197</v>
      </c>
      <c r="N103" s="136">
        <f t="shared" si="18"/>
        <v>423.75589559257304</v>
      </c>
      <c r="O103" s="136">
        <f t="shared" si="14"/>
        <v>-4640.640381304281</v>
      </c>
      <c r="P103" s="142">
        <v>0.06</v>
      </c>
      <c r="Q103" s="139" t="s">
        <v>289</v>
      </c>
    </row>
    <row r="104" spans="1:17" s="172" customFormat="1" ht="15">
      <c r="A104" s="143"/>
      <c r="B104" s="144">
        <v>43770</v>
      </c>
      <c r="C104" s="163"/>
      <c r="D104" s="163"/>
      <c r="E104" s="163"/>
      <c r="F104" s="133">
        <f>SUM(F96:F103)</f>
        <v>104869.4</v>
      </c>
      <c r="G104" s="133">
        <f>SUM(G96:G103)</f>
        <v>104869.4</v>
      </c>
      <c r="H104" s="125">
        <f t="shared" si="17"/>
        <v>47731.42</v>
      </c>
      <c r="I104" s="133">
        <f>SUM(I96:I103)</f>
        <v>24487.53</v>
      </c>
      <c r="J104" s="133">
        <f>SUM(J96:J103)</f>
        <v>9773.579999999998</v>
      </c>
      <c r="K104" s="133">
        <f>SUM(K96:K103)</f>
        <v>2971.1499999999996</v>
      </c>
      <c r="L104" s="143">
        <v>578.13</v>
      </c>
      <c r="M104" s="143">
        <f>6861.96-578.13-0.76</f>
        <v>6283.07</v>
      </c>
      <c r="N104" s="143">
        <v>3637.96</v>
      </c>
      <c r="O104" s="125">
        <f t="shared" si="14"/>
        <v>57137.979999999996</v>
      </c>
      <c r="P104" s="146"/>
      <c r="Q104" s="143"/>
    </row>
    <row r="105" spans="1:17" s="172" customFormat="1" ht="15">
      <c r="A105" s="139">
        <v>1</v>
      </c>
      <c r="B105" s="140">
        <v>43800</v>
      </c>
      <c r="C105" s="162" t="s">
        <v>231</v>
      </c>
      <c r="D105" s="162">
        <v>846109</v>
      </c>
      <c r="E105" s="162" t="s">
        <v>567</v>
      </c>
      <c r="F105" s="134">
        <v>17294.9</v>
      </c>
      <c r="G105" s="134">
        <v>17294.9</v>
      </c>
      <c r="H105" s="129">
        <f t="shared" si="17"/>
        <v>37253.54417963348</v>
      </c>
      <c r="I105" s="134">
        <v>10806.57</v>
      </c>
      <c r="J105" s="134">
        <v>4561.68</v>
      </c>
      <c r="K105" s="134">
        <v>1386.75</v>
      </c>
      <c r="L105" s="136">
        <f>$I105/$I$111*L$111</f>
        <v>466.9012278934488</v>
      </c>
      <c r="M105" s="136">
        <f>$I105/$I$111*M$111</f>
        <v>3087.3843088334665</v>
      </c>
      <c r="N105" s="136">
        <f>$I105/$I$111*N$111</f>
        <v>16944.258642906563</v>
      </c>
      <c r="O105" s="136">
        <f t="shared" si="14"/>
        <v>-19958.644179633477</v>
      </c>
      <c r="P105" s="142">
        <v>0.22</v>
      </c>
      <c r="Q105" s="139" t="s">
        <v>292</v>
      </c>
    </row>
    <row r="106" spans="1:17" s="172" customFormat="1" ht="15">
      <c r="A106" s="139">
        <v>2</v>
      </c>
      <c r="B106" s="140">
        <v>43800</v>
      </c>
      <c r="C106" s="141" t="s">
        <v>231</v>
      </c>
      <c r="D106" s="162">
        <v>846121</v>
      </c>
      <c r="E106" s="162" t="s">
        <v>568</v>
      </c>
      <c r="F106" s="134">
        <v>17294.9</v>
      </c>
      <c r="G106" s="134">
        <v>17294.9</v>
      </c>
      <c r="H106" s="129">
        <f t="shared" si="17"/>
        <v>31669.036986966923</v>
      </c>
      <c r="I106" s="134">
        <v>9380.14</v>
      </c>
      <c r="J106" s="134">
        <v>3447.92</v>
      </c>
      <c r="K106" s="134">
        <v>1048.17</v>
      </c>
      <c r="L106" s="136">
        <f aca="true" t="shared" si="19" ref="L106:N110">$I106/$I$111*L$111</f>
        <v>405.2718747773303</v>
      </c>
      <c r="M106" s="136">
        <f t="shared" si="19"/>
        <v>2679.8602193537035</v>
      </c>
      <c r="N106" s="136">
        <f t="shared" si="19"/>
        <v>14707.67489283589</v>
      </c>
      <c r="O106" s="136">
        <f t="shared" si="14"/>
        <v>-14374.136986966922</v>
      </c>
      <c r="P106" s="142">
        <v>0.145</v>
      </c>
      <c r="Q106" s="139" t="s">
        <v>292</v>
      </c>
    </row>
    <row r="107" spans="1:17" s="172" customFormat="1" ht="15">
      <c r="A107" s="139">
        <v>3</v>
      </c>
      <c r="B107" s="140">
        <v>43800</v>
      </c>
      <c r="C107" s="162" t="s">
        <v>569</v>
      </c>
      <c r="D107" s="162">
        <v>5409002</v>
      </c>
      <c r="E107" s="162" t="s">
        <v>570</v>
      </c>
      <c r="F107" s="134">
        <v>550</v>
      </c>
      <c r="G107" s="134">
        <v>550</v>
      </c>
      <c r="H107" s="125">
        <f t="shared" si="17"/>
        <v>3356.7199834472895</v>
      </c>
      <c r="I107" s="134">
        <v>902.07</v>
      </c>
      <c r="J107" s="134">
        <v>570.21</v>
      </c>
      <c r="K107" s="134">
        <v>173.34</v>
      </c>
      <c r="L107" s="136">
        <f t="shared" si="19"/>
        <v>38.97421574522197</v>
      </c>
      <c r="M107" s="136">
        <f t="shared" si="19"/>
        <v>257.7169965557439</v>
      </c>
      <c r="N107" s="136">
        <f t="shared" si="19"/>
        <v>1414.4087711463235</v>
      </c>
      <c r="O107" s="136">
        <f t="shared" si="14"/>
        <v>-2806.7199834472895</v>
      </c>
      <c r="P107" s="142"/>
      <c r="Q107" s="139"/>
    </row>
    <row r="108" spans="1:17" s="172" customFormat="1" ht="15">
      <c r="A108" s="139">
        <v>4</v>
      </c>
      <c r="B108" s="140">
        <v>43800</v>
      </c>
      <c r="C108" s="162" t="s">
        <v>571</v>
      </c>
      <c r="D108" s="162">
        <v>5483002</v>
      </c>
      <c r="E108" s="162" t="s">
        <v>572</v>
      </c>
      <c r="F108" s="134">
        <v>550</v>
      </c>
      <c r="G108" s="134">
        <v>550</v>
      </c>
      <c r="H108" s="125">
        <f t="shared" si="17"/>
        <v>1899.976283317434</v>
      </c>
      <c r="I108" s="134">
        <v>399.2</v>
      </c>
      <c r="J108" s="134">
        <v>570.21</v>
      </c>
      <c r="K108" s="134">
        <v>173.34</v>
      </c>
      <c r="L108" s="136">
        <f t="shared" si="19"/>
        <v>17.247560527999614</v>
      </c>
      <c r="M108" s="136">
        <f t="shared" si="19"/>
        <v>114.04949175236175</v>
      </c>
      <c r="N108" s="136">
        <f t="shared" si="19"/>
        <v>625.9292310370728</v>
      </c>
      <c r="O108" s="136">
        <f t="shared" si="14"/>
        <v>-1349.976283317434</v>
      </c>
      <c r="P108" s="142"/>
      <c r="Q108" s="139"/>
    </row>
    <row r="109" spans="1:17" s="172" customFormat="1" ht="15">
      <c r="A109" s="139">
        <v>5</v>
      </c>
      <c r="B109" s="140">
        <v>43800</v>
      </c>
      <c r="C109" s="162" t="s">
        <v>573</v>
      </c>
      <c r="D109" s="162">
        <v>5454001</v>
      </c>
      <c r="E109" s="162" t="s">
        <v>574</v>
      </c>
      <c r="F109" s="134">
        <v>550</v>
      </c>
      <c r="G109" s="134">
        <v>550</v>
      </c>
      <c r="H109" s="125">
        <f t="shared" si="17"/>
        <v>1899.976283317434</v>
      </c>
      <c r="I109" s="134">
        <v>399.2</v>
      </c>
      <c r="J109" s="134">
        <v>570.21</v>
      </c>
      <c r="K109" s="134">
        <v>173.34</v>
      </c>
      <c r="L109" s="136">
        <f t="shared" si="19"/>
        <v>17.247560527999614</v>
      </c>
      <c r="M109" s="136">
        <f t="shared" si="19"/>
        <v>114.04949175236175</v>
      </c>
      <c r="N109" s="136">
        <f t="shared" si="19"/>
        <v>625.9292310370728</v>
      </c>
      <c r="O109" s="136">
        <f t="shared" si="14"/>
        <v>-1349.976283317434</v>
      </c>
      <c r="P109" s="142"/>
      <c r="Q109" s="139"/>
    </row>
    <row r="110" spans="1:17" s="172" customFormat="1" ht="45">
      <c r="A110" s="139">
        <v>6</v>
      </c>
      <c r="B110" s="140">
        <v>43800</v>
      </c>
      <c r="C110" s="141" t="s">
        <v>575</v>
      </c>
      <c r="D110" s="162">
        <v>450002</v>
      </c>
      <c r="E110" s="162" t="s">
        <v>576</v>
      </c>
      <c r="F110" s="134">
        <v>550</v>
      </c>
      <c r="G110" s="134">
        <v>550</v>
      </c>
      <c r="H110" s="125">
        <f t="shared" si="17"/>
        <v>1899.976283317434</v>
      </c>
      <c r="I110" s="134">
        <v>399.2</v>
      </c>
      <c r="J110" s="134">
        <v>570.21</v>
      </c>
      <c r="K110" s="134">
        <v>173.34</v>
      </c>
      <c r="L110" s="136">
        <f t="shared" si="19"/>
        <v>17.247560527999614</v>
      </c>
      <c r="M110" s="136">
        <f t="shared" si="19"/>
        <v>114.04949175236175</v>
      </c>
      <c r="N110" s="136">
        <f t="shared" si="19"/>
        <v>625.9292310370728</v>
      </c>
      <c r="O110" s="136">
        <f t="shared" si="14"/>
        <v>-1349.976283317434</v>
      </c>
      <c r="P110" s="142"/>
      <c r="Q110" s="139"/>
    </row>
    <row r="111" spans="1:17" s="172" customFormat="1" ht="15">
      <c r="A111" s="143"/>
      <c r="B111" s="144">
        <v>43800</v>
      </c>
      <c r="C111" s="163"/>
      <c r="D111" s="163"/>
      <c r="E111" s="163"/>
      <c r="F111" s="133">
        <f>SUM(F105:F110)</f>
        <v>36789.8</v>
      </c>
      <c r="G111" s="133">
        <f>SUM(G105:G110)</f>
        <v>36789.8</v>
      </c>
      <c r="H111" s="125">
        <f t="shared" si="17"/>
        <v>77979.23</v>
      </c>
      <c r="I111" s="133">
        <f>SUM(I105:I110)</f>
        <v>22286.38</v>
      </c>
      <c r="J111" s="133">
        <f>SUM(J105:J110)</f>
        <v>10290.439999999999</v>
      </c>
      <c r="K111" s="133">
        <f>SUM(K105:K110)</f>
        <v>3128.2800000000007</v>
      </c>
      <c r="L111" s="143">
        <v>962.89</v>
      </c>
      <c r="M111" s="143">
        <f>6978.33-962.89+351.67</f>
        <v>6367.11</v>
      </c>
      <c r="N111" s="143">
        <v>34944.13</v>
      </c>
      <c r="O111" s="125">
        <f t="shared" si="14"/>
        <v>-41189.42999999999</v>
      </c>
      <c r="P111" s="146"/>
      <c r="Q111" s="143"/>
    </row>
    <row r="112" spans="1:17" s="172" customFormat="1" ht="15">
      <c r="A112" s="164"/>
      <c r="B112" s="165"/>
      <c r="C112" s="166" t="s">
        <v>577</v>
      </c>
      <c r="D112" s="166"/>
      <c r="E112" s="166"/>
      <c r="F112" s="167">
        <f>F81+F95+F104+F111</f>
        <v>12420443.47</v>
      </c>
      <c r="G112" s="167">
        <f>G81+G95+G104+G111</f>
        <v>5586190.659999999</v>
      </c>
      <c r="H112" s="168">
        <f t="shared" si="17"/>
        <v>1292365.64</v>
      </c>
      <c r="I112" s="167">
        <f aca="true" t="shared" si="20" ref="I112:N112">I81+I95+I104+I111</f>
        <v>248189.81</v>
      </c>
      <c r="J112" s="167">
        <f t="shared" si="20"/>
        <v>155473.83999999997</v>
      </c>
      <c r="K112" s="167">
        <f t="shared" si="20"/>
        <v>47263.97</v>
      </c>
      <c r="L112" s="167">
        <f t="shared" si="20"/>
        <v>31519.78</v>
      </c>
      <c r="M112" s="167">
        <f t="shared" si="20"/>
        <v>153335.8</v>
      </c>
      <c r="N112" s="167">
        <f t="shared" si="20"/>
        <v>656582.44</v>
      </c>
      <c r="O112" s="168">
        <f t="shared" si="14"/>
        <v>11128077.83</v>
      </c>
      <c r="P112" s="169"/>
      <c r="Q112" s="164"/>
    </row>
    <row r="113" spans="1:17" ht="15">
      <c r="A113" s="116"/>
      <c r="B113" s="116"/>
      <c r="C113" s="116"/>
      <c r="D113" s="116"/>
      <c r="E113" s="115"/>
      <c r="F113" s="117"/>
      <c r="G113" s="117"/>
      <c r="H113" s="118">
        <f>H112+'08'!G79</f>
        <v>17106525.75</v>
      </c>
      <c r="I113" s="117"/>
      <c r="J113" s="117"/>
      <c r="K113" s="117"/>
      <c r="L113" s="117"/>
      <c r="M113" s="116"/>
      <c r="N113" s="116"/>
      <c r="O113" s="118"/>
      <c r="P113" s="119"/>
      <c r="Q113" s="116"/>
    </row>
    <row r="114" spans="1:17" ht="15">
      <c r="A114" s="116"/>
      <c r="B114" s="116"/>
      <c r="C114" s="116"/>
      <c r="D114" s="116"/>
      <c r="E114" s="115"/>
      <c r="F114" s="117"/>
      <c r="G114" s="117"/>
      <c r="H114" s="118">
        <f>H113/1000-SUM('Приложение №1 2019'!G9:G23)</f>
        <v>991.5772865682484</v>
      </c>
      <c r="I114" s="117"/>
      <c r="J114" s="117"/>
      <c r="K114" s="117"/>
      <c r="L114" s="117"/>
      <c r="M114" s="116"/>
      <c r="N114" s="116"/>
      <c r="O114" s="118"/>
      <c r="P114" s="119"/>
      <c r="Q114" s="116"/>
    </row>
    <row r="115" spans="1:17" ht="15">
      <c r="A115" s="116"/>
      <c r="B115" s="116"/>
      <c r="C115" s="116"/>
      <c r="D115" s="116"/>
      <c r="E115" s="116"/>
      <c r="F115" s="116"/>
      <c r="G115" s="116"/>
      <c r="H115" s="118"/>
      <c r="I115" s="117"/>
      <c r="J115" s="117"/>
      <c r="K115" s="117"/>
      <c r="L115" s="117"/>
      <c r="M115" s="116"/>
      <c r="N115" s="116"/>
      <c r="O115" s="118"/>
      <c r="P115" s="119"/>
      <c r="Q115" s="116"/>
    </row>
    <row r="116" spans="1:17" ht="15">
      <c r="A116" s="116"/>
      <c r="B116" s="116"/>
      <c r="C116" s="116"/>
      <c r="D116" s="116"/>
      <c r="E116" s="116"/>
      <c r="F116" s="116"/>
      <c r="G116" s="116"/>
      <c r="H116" s="118"/>
      <c r="I116" s="117"/>
      <c r="J116" s="117"/>
      <c r="K116" s="117"/>
      <c r="L116" s="117"/>
      <c r="M116" s="116"/>
      <c r="N116" s="116"/>
      <c r="O116" s="118"/>
      <c r="P116" s="119"/>
      <c r="Q116" s="116"/>
    </row>
    <row r="117" spans="1:17" ht="15">
      <c r="A117" s="116"/>
      <c r="B117" s="116"/>
      <c r="C117" s="116"/>
      <c r="D117" s="116"/>
      <c r="E117" s="116"/>
      <c r="F117" s="116"/>
      <c r="G117" s="116"/>
      <c r="H117" s="118"/>
      <c r="I117" s="117"/>
      <c r="J117" s="117"/>
      <c r="K117" s="117"/>
      <c r="L117" s="117"/>
      <c r="M117" s="116"/>
      <c r="N117" s="116"/>
      <c r="O117" s="118"/>
      <c r="P117" s="119"/>
      <c r="Q117" s="116"/>
    </row>
    <row r="118" spans="1:17" ht="15">
      <c r="A118" s="116"/>
      <c r="B118" s="116"/>
      <c r="C118" s="116"/>
      <c r="D118" s="116"/>
      <c r="E118" s="116"/>
      <c r="F118" s="116"/>
      <c r="G118" s="116"/>
      <c r="H118" s="118"/>
      <c r="I118" s="117"/>
      <c r="J118" s="117"/>
      <c r="K118" s="117"/>
      <c r="L118" s="117"/>
      <c r="M118" s="116"/>
      <c r="N118" s="116"/>
      <c r="O118" s="118"/>
      <c r="P118" s="119"/>
      <c r="Q118" s="116"/>
    </row>
    <row r="119" spans="1:17" ht="15">
      <c r="A119" s="116"/>
      <c r="B119" s="116"/>
      <c r="C119" s="116"/>
      <c r="D119" s="116"/>
      <c r="E119" s="116"/>
      <c r="F119" s="116"/>
      <c r="G119" s="116"/>
      <c r="H119" s="118"/>
      <c r="I119" s="117"/>
      <c r="J119" s="117"/>
      <c r="K119" s="117"/>
      <c r="L119" s="117"/>
      <c r="M119" s="116"/>
      <c r="N119" s="116"/>
      <c r="O119" s="118"/>
      <c r="P119" s="119"/>
      <c r="Q119" s="116"/>
    </row>
    <row r="120" spans="1:17" ht="15">
      <c r="A120" s="116"/>
      <c r="B120" s="116"/>
      <c r="C120" s="116"/>
      <c r="D120" s="116"/>
      <c r="E120" s="116"/>
      <c r="F120" s="116"/>
      <c r="G120" s="116"/>
      <c r="H120" s="118"/>
      <c r="I120" s="117"/>
      <c r="J120" s="117"/>
      <c r="K120" s="117"/>
      <c r="L120" s="117"/>
      <c r="M120" s="116"/>
      <c r="N120" s="116"/>
      <c r="O120" s="118"/>
      <c r="P120" s="119"/>
      <c r="Q120" s="116"/>
    </row>
    <row r="121" spans="1:17" ht="15">
      <c r="A121" s="116"/>
      <c r="B121" s="116"/>
      <c r="C121" s="116"/>
      <c r="D121" s="116"/>
      <c r="E121" s="116"/>
      <c r="F121" s="116"/>
      <c r="G121" s="116"/>
      <c r="H121" s="118"/>
      <c r="I121" s="117"/>
      <c r="J121" s="117"/>
      <c r="K121" s="117"/>
      <c r="L121" s="117"/>
      <c r="M121" s="116"/>
      <c r="N121" s="116"/>
      <c r="O121" s="118"/>
      <c r="P121" s="119"/>
      <c r="Q121" s="116"/>
    </row>
    <row r="122" spans="1:17" ht="15">
      <c r="A122" s="116"/>
      <c r="B122" s="116"/>
      <c r="C122" s="116"/>
      <c r="D122" s="116"/>
      <c r="E122" s="116"/>
      <c r="F122" s="116"/>
      <c r="G122" s="116"/>
      <c r="H122" s="118"/>
      <c r="I122" s="117"/>
      <c r="J122" s="117"/>
      <c r="K122" s="117"/>
      <c r="L122" s="117"/>
      <c r="M122" s="116"/>
      <c r="N122" s="116"/>
      <c r="O122" s="118"/>
      <c r="P122" s="119"/>
      <c r="Q122" s="116"/>
    </row>
    <row r="123" spans="1:17" ht="15">
      <c r="A123" s="116"/>
      <c r="B123" s="116"/>
      <c r="C123" s="116"/>
      <c r="D123" s="116"/>
      <c r="E123" s="116"/>
      <c r="F123" s="116"/>
      <c r="G123" s="116"/>
      <c r="H123" s="118"/>
      <c r="I123" s="117"/>
      <c r="J123" s="117"/>
      <c r="K123" s="117"/>
      <c r="L123" s="117"/>
      <c r="M123" s="116"/>
      <c r="N123" s="116"/>
      <c r="O123" s="118"/>
      <c r="P123" s="119"/>
      <c r="Q123" s="116"/>
    </row>
    <row r="124" spans="1:17" ht="15">
      <c r="A124" s="116"/>
      <c r="B124" s="116"/>
      <c r="C124" s="116"/>
      <c r="D124" s="116"/>
      <c r="E124" s="116"/>
      <c r="F124" s="116"/>
      <c r="G124" s="116"/>
      <c r="H124" s="118"/>
      <c r="I124" s="117"/>
      <c r="J124" s="117"/>
      <c r="K124" s="117"/>
      <c r="L124" s="117"/>
      <c r="M124" s="116"/>
      <c r="N124" s="116"/>
      <c r="O124" s="118"/>
      <c r="P124" s="119"/>
      <c r="Q124" s="116"/>
    </row>
    <row r="125" spans="1:17" ht="15">
      <c r="A125" s="116"/>
      <c r="B125" s="116"/>
      <c r="C125" s="116"/>
      <c r="D125" s="116"/>
      <c r="E125" s="116"/>
      <c r="F125" s="116"/>
      <c r="G125" s="116"/>
      <c r="H125" s="118"/>
      <c r="I125" s="117"/>
      <c r="J125" s="117"/>
      <c r="K125" s="117"/>
      <c r="L125" s="117"/>
      <c r="M125" s="116"/>
      <c r="N125" s="116"/>
      <c r="O125" s="118"/>
      <c r="P125" s="119"/>
      <c r="Q125" s="116"/>
    </row>
    <row r="126" spans="1:17" ht="15">
      <c r="A126" s="116"/>
      <c r="B126" s="116"/>
      <c r="C126" s="116"/>
      <c r="D126" s="116"/>
      <c r="E126" s="116"/>
      <c r="F126" s="116"/>
      <c r="G126" s="116"/>
      <c r="H126" s="118"/>
      <c r="I126" s="117"/>
      <c r="J126" s="117"/>
      <c r="K126" s="117"/>
      <c r="L126" s="117"/>
      <c r="M126" s="116"/>
      <c r="N126" s="116"/>
      <c r="O126" s="118"/>
      <c r="P126" s="119"/>
      <c r="Q126" s="116"/>
    </row>
    <row r="127" spans="1:17" ht="15">
      <c r="A127" s="116"/>
      <c r="B127" s="116"/>
      <c r="C127" s="116"/>
      <c r="D127" s="116"/>
      <c r="E127" s="116"/>
      <c r="F127" s="116"/>
      <c r="G127" s="116"/>
      <c r="H127" s="118"/>
      <c r="I127" s="117"/>
      <c r="J127" s="117"/>
      <c r="K127" s="117"/>
      <c r="L127" s="117"/>
      <c r="M127" s="116"/>
      <c r="N127" s="116"/>
      <c r="O127" s="118"/>
      <c r="P127" s="119"/>
      <c r="Q127" s="116"/>
    </row>
    <row r="128" spans="1:17" ht="15">
      <c r="A128" s="116"/>
      <c r="B128" s="116"/>
      <c r="C128" s="116"/>
      <c r="D128" s="116"/>
      <c r="E128" s="116"/>
      <c r="F128" s="116"/>
      <c r="G128" s="116"/>
      <c r="H128" s="118"/>
      <c r="I128" s="117"/>
      <c r="J128" s="117"/>
      <c r="K128" s="117"/>
      <c r="L128" s="117"/>
      <c r="M128" s="116"/>
      <c r="N128" s="116"/>
      <c r="O128" s="118"/>
      <c r="P128" s="119"/>
      <c r="Q128" s="116"/>
    </row>
    <row r="129" spans="1:17" ht="15">
      <c r="A129" s="116"/>
      <c r="B129" s="116"/>
      <c r="C129" s="116"/>
      <c r="D129" s="116"/>
      <c r="E129" s="116"/>
      <c r="F129" s="116"/>
      <c r="G129" s="116"/>
      <c r="H129" s="118"/>
      <c r="I129" s="117"/>
      <c r="J129" s="117"/>
      <c r="K129" s="117"/>
      <c r="L129" s="117"/>
      <c r="M129" s="116"/>
      <c r="N129" s="116"/>
      <c r="O129" s="118"/>
      <c r="P129" s="119"/>
      <c r="Q129" s="116"/>
    </row>
    <row r="130" spans="1:17" ht="15">
      <c r="A130" s="116"/>
      <c r="B130" s="116"/>
      <c r="C130" s="116"/>
      <c r="D130" s="116"/>
      <c r="E130" s="116"/>
      <c r="F130" s="116"/>
      <c r="G130" s="116"/>
      <c r="H130" s="118"/>
      <c r="I130" s="117"/>
      <c r="J130" s="117"/>
      <c r="K130" s="117"/>
      <c r="L130" s="117"/>
      <c r="M130" s="116"/>
      <c r="N130" s="116"/>
      <c r="O130" s="118"/>
      <c r="P130" s="119"/>
      <c r="Q130" s="116"/>
    </row>
    <row r="131" spans="1:17" ht="15">
      <c r="A131" s="116"/>
      <c r="B131" s="116"/>
      <c r="C131" s="116"/>
      <c r="D131" s="116"/>
      <c r="E131" s="116"/>
      <c r="F131" s="116"/>
      <c r="G131" s="116"/>
      <c r="H131" s="118"/>
      <c r="I131" s="117"/>
      <c r="J131" s="117"/>
      <c r="K131" s="117"/>
      <c r="L131" s="117"/>
      <c r="M131" s="116"/>
      <c r="N131" s="116"/>
      <c r="O131" s="118"/>
      <c r="P131" s="119"/>
      <c r="Q131" s="116"/>
    </row>
    <row r="132" spans="1:17" ht="15">
      <c r="A132" s="116"/>
      <c r="B132" s="116"/>
      <c r="C132" s="116"/>
      <c r="D132" s="116"/>
      <c r="E132" s="116"/>
      <c r="F132" s="116"/>
      <c r="G132" s="116"/>
      <c r="H132" s="118"/>
      <c r="I132" s="117"/>
      <c r="J132" s="117"/>
      <c r="K132" s="117"/>
      <c r="L132" s="117"/>
      <c r="M132" s="116"/>
      <c r="N132" s="116"/>
      <c r="O132" s="118"/>
      <c r="P132" s="119"/>
      <c r="Q132" s="116"/>
    </row>
    <row r="133" spans="1:17" ht="15">
      <c r="A133" s="116"/>
      <c r="B133" s="116"/>
      <c r="C133" s="116"/>
      <c r="D133" s="116"/>
      <c r="E133" s="116"/>
      <c r="F133" s="116"/>
      <c r="G133" s="116"/>
      <c r="H133" s="118"/>
      <c r="I133" s="117"/>
      <c r="J133" s="117"/>
      <c r="K133" s="117"/>
      <c r="L133" s="117"/>
      <c r="M133" s="116"/>
      <c r="N133" s="116"/>
      <c r="O133" s="118"/>
      <c r="P133" s="119"/>
      <c r="Q133" s="116"/>
    </row>
    <row r="134" spans="1:17" ht="15">
      <c r="A134" s="116"/>
      <c r="B134" s="116"/>
      <c r="C134" s="116"/>
      <c r="D134" s="116"/>
      <c r="E134" s="116"/>
      <c r="F134" s="116"/>
      <c r="G134" s="116"/>
      <c r="H134" s="118"/>
      <c r="I134" s="117"/>
      <c r="J134" s="117"/>
      <c r="K134" s="117"/>
      <c r="L134" s="117"/>
      <c r="M134" s="116"/>
      <c r="N134" s="116"/>
      <c r="O134" s="118"/>
      <c r="P134" s="119"/>
      <c r="Q134" s="116"/>
    </row>
    <row r="135" spans="1:17" ht="15">
      <c r="A135" s="116"/>
      <c r="B135" s="116"/>
      <c r="C135" s="116"/>
      <c r="D135" s="116"/>
      <c r="E135" s="116"/>
      <c r="F135" s="116"/>
      <c r="G135" s="116"/>
      <c r="H135" s="118"/>
      <c r="I135" s="117"/>
      <c r="J135" s="117"/>
      <c r="K135" s="117"/>
      <c r="L135" s="117"/>
      <c r="M135" s="116"/>
      <c r="N135" s="116"/>
      <c r="O135" s="118"/>
      <c r="P135" s="119"/>
      <c r="Q135" s="116"/>
    </row>
    <row r="136" spans="1:17" ht="15">
      <c r="A136" s="116"/>
      <c r="B136" s="116"/>
      <c r="C136" s="116"/>
      <c r="D136" s="116"/>
      <c r="E136" s="116"/>
      <c r="F136" s="116"/>
      <c r="G136" s="116"/>
      <c r="H136" s="118"/>
      <c r="I136" s="117"/>
      <c r="J136" s="117"/>
      <c r="K136" s="117"/>
      <c r="L136" s="117"/>
      <c r="M136" s="116"/>
      <c r="N136" s="116"/>
      <c r="O136" s="118"/>
      <c r="P136" s="119"/>
      <c r="Q136" s="116"/>
    </row>
    <row r="137" spans="1:17" ht="15">
      <c r="A137" s="116"/>
      <c r="B137" s="116"/>
      <c r="C137" s="116"/>
      <c r="D137" s="116"/>
      <c r="E137" s="116"/>
      <c r="F137" s="116"/>
      <c r="G137" s="116"/>
      <c r="H137" s="118"/>
      <c r="I137" s="117"/>
      <c r="J137" s="117"/>
      <c r="K137" s="117"/>
      <c r="L137" s="117"/>
      <c r="M137" s="116"/>
      <c r="N137" s="116"/>
      <c r="O137" s="118"/>
      <c r="P137" s="119"/>
      <c r="Q137" s="116"/>
    </row>
    <row r="138" spans="1:17" ht="15">
      <c r="A138" s="116"/>
      <c r="B138" s="116"/>
      <c r="C138" s="116"/>
      <c r="D138" s="116"/>
      <c r="E138" s="116"/>
      <c r="F138" s="116"/>
      <c r="G138" s="116"/>
      <c r="H138" s="118"/>
      <c r="I138" s="117"/>
      <c r="J138" s="117"/>
      <c r="K138" s="117"/>
      <c r="L138" s="117"/>
      <c r="M138" s="116"/>
      <c r="N138" s="116"/>
      <c r="O138" s="118"/>
      <c r="P138" s="119"/>
      <c r="Q138" s="116"/>
    </row>
    <row r="139" spans="1:17" ht="15">
      <c r="A139" s="116"/>
      <c r="B139" s="116"/>
      <c r="C139" s="116"/>
      <c r="D139" s="116"/>
      <c r="E139" s="116"/>
      <c r="F139" s="116"/>
      <c r="G139" s="116"/>
      <c r="H139" s="118"/>
      <c r="I139" s="117"/>
      <c r="J139" s="117"/>
      <c r="K139" s="117"/>
      <c r="L139" s="117"/>
      <c r="M139" s="116"/>
      <c r="N139" s="116"/>
      <c r="O139" s="118"/>
      <c r="P139" s="119"/>
      <c r="Q139" s="116"/>
    </row>
    <row r="140" spans="1:17" ht="15">
      <c r="A140" s="116"/>
      <c r="B140" s="116"/>
      <c r="C140" s="116"/>
      <c r="D140" s="116"/>
      <c r="E140" s="116"/>
      <c r="F140" s="116"/>
      <c r="G140" s="116"/>
      <c r="H140" s="118"/>
      <c r="I140" s="117"/>
      <c r="J140" s="117"/>
      <c r="K140" s="117"/>
      <c r="L140" s="117"/>
      <c r="M140" s="116"/>
      <c r="N140" s="116"/>
      <c r="O140" s="118"/>
      <c r="P140" s="119"/>
      <c r="Q140" s="116"/>
    </row>
    <row r="141" spans="1:17" ht="15">
      <c r="A141" s="116"/>
      <c r="B141" s="116"/>
      <c r="C141" s="116"/>
      <c r="D141" s="116"/>
      <c r="E141" s="116"/>
      <c r="F141" s="116"/>
      <c r="G141" s="116"/>
      <c r="H141" s="118"/>
      <c r="I141" s="117"/>
      <c r="J141" s="117"/>
      <c r="K141" s="117"/>
      <c r="L141" s="117"/>
      <c r="M141" s="116"/>
      <c r="N141" s="116"/>
      <c r="O141" s="118"/>
      <c r="P141" s="119"/>
      <c r="Q141" s="116"/>
    </row>
    <row r="142" spans="1:17" ht="15">
      <c r="A142" s="116"/>
      <c r="B142" s="116"/>
      <c r="C142" s="116"/>
      <c r="D142" s="116"/>
      <c r="E142" s="116"/>
      <c r="F142" s="116"/>
      <c r="G142" s="116"/>
      <c r="H142" s="118"/>
      <c r="I142" s="117"/>
      <c r="J142" s="117"/>
      <c r="K142" s="117"/>
      <c r="L142" s="117"/>
      <c r="M142" s="116"/>
      <c r="N142" s="116"/>
      <c r="O142" s="118"/>
      <c r="P142" s="119"/>
      <c r="Q142" s="116"/>
    </row>
    <row r="143" spans="1:17" ht="15">
      <c r="A143" s="116"/>
      <c r="B143" s="116"/>
      <c r="C143" s="116"/>
      <c r="D143" s="116"/>
      <c r="E143" s="116"/>
      <c r="F143" s="116"/>
      <c r="G143" s="116"/>
      <c r="H143" s="118"/>
      <c r="I143" s="117"/>
      <c r="J143" s="117"/>
      <c r="K143" s="117"/>
      <c r="L143" s="117"/>
      <c r="M143" s="116"/>
      <c r="N143" s="116"/>
      <c r="O143" s="118"/>
      <c r="P143" s="119"/>
      <c r="Q143" s="116"/>
    </row>
    <row r="144" spans="1:17" ht="15">
      <c r="A144" s="116"/>
      <c r="B144" s="116"/>
      <c r="C144" s="116"/>
      <c r="D144" s="116"/>
      <c r="E144" s="116"/>
      <c r="F144" s="116"/>
      <c r="G144" s="116"/>
      <c r="H144" s="118"/>
      <c r="I144" s="117"/>
      <c r="J144" s="117"/>
      <c r="K144" s="117"/>
      <c r="L144" s="117"/>
      <c r="M144" s="116"/>
      <c r="N144" s="116"/>
      <c r="O144" s="118"/>
      <c r="P144" s="119"/>
      <c r="Q144" s="116"/>
    </row>
    <row r="145" spans="1:17" ht="15">
      <c r="A145" s="116"/>
      <c r="B145" s="116"/>
      <c r="C145" s="116"/>
      <c r="D145" s="116"/>
      <c r="E145" s="116"/>
      <c r="F145" s="116"/>
      <c r="G145" s="116"/>
      <c r="H145" s="118"/>
      <c r="I145" s="117"/>
      <c r="J145" s="117"/>
      <c r="K145" s="117"/>
      <c r="L145" s="117"/>
      <c r="M145" s="116"/>
      <c r="N145" s="116"/>
      <c r="O145" s="118"/>
      <c r="P145" s="119"/>
      <c r="Q145" s="116"/>
    </row>
    <row r="146" spans="1:17" ht="15">
      <c r="A146" s="116"/>
      <c r="B146" s="116"/>
      <c r="C146" s="116"/>
      <c r="D146" s="116"/>
      <c r="E146" s="116"/>
      <c r="F146" s="116"/>
      <c r="G146" s="116"/>
      <c r="H146" s="118"/>
      <c r="I146" s="117"/>
      <c r="J146" s="117"/>
      <c r="K146" s="117"/>
      <c r="L146" s="117"/>
      <c r="M146" s="116"/>
      <c r="N146" s="116"/>
      <c r="O146" s="118"/>
      <c r="P146" s="119"/>
      <c r="Q146" s="116"/>
    </row>
    <row r="147" spans="1:17" ht="15">
      <c r="A147" s="116"/>
      <c r="B147" s="116"/>
      <c r="C147" s="116"/>
      <c r="D147" s="116"/>
      <c r="E147" s="116"/>
      <c r="F147" s="116"/>
      <c r="G147" s="116"/>
      <c r="H147" s="118"/>
      <c r="I147" s="117"/>
      <c r="J147" s="117"/>
      <c r="K147" s="117"/>
      <c r="L147" s="117"/>
      <c r="M147" s="116"/>
      <c r="N147" s="116"/>
      <c r="O147" s="118"/>
      <c r="P147" s="119"/>
      <c r="Q147" s="116"/>
    </row>
    <row r="148" spans="1:17" ht="15">
      <c r="A148" s="116"/>
      <c r="B148" s="116"/>
      <c r="C148" s="116"/>
      <c r="D148" s="116"/>
      <c r="E148" s="116"/>
      <c r="F148" s="116"/>
      <c r="G148" s="116"/>
      <c r="H148" s="118"/>
      <c r="I148" s="117"/>
      <c r="J148" s="117"/>
      <c r="K148" s="117"/>
      <c r="L148" s="117"/>
      <c r="M148" s="116"/>
      <c r="N148" s="116"/>
      <c r="O148" s="118"/>
      <c r="P148" s="119"/>
      <c r="Q148" s="116"/>
    </row>
  </sheetData>
  <sheetProtection/>
  <autoFilter ref="Q1:Q148"/>
  <mergeCells count="11">
    <mergeCell ref="A3:A4"/>
    <mergeCell ref="B3:B4"/>
    <mergeCell ref="C3:C4"/>
    <mergeCell ref="D3:D4"/>
    <mergeCell ref="E3:E4"/>
    <mergeCell ref="F3:F4"/>
    <mergeCell ref="G3:G4"/>
    <mergeCell ref="H3:L3"/>
    <mergeCell ref="O3:O4"/>
    <mergeCell ref="P3:Q3"/>
    <mergeCell ref="P2:Q2"/>
  </mergeCells>
  <printOptions/>
  <pageMargins left="0.7" right="0.7" top="0.75" bottom="0.75" header="0.3" footer="0.3"/>
  <pageSetup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O82"/>
  <sheetViews>
    <sheetView zoomScalePageLayoutView="0" workbookViewId="0" topLeftCell="A1">
      <selection activeCell="C23" sqref="C23"/>
    </sheetView>
  </sheetViews>
  <sheetFormatPr defaultColWidth="9.140625" defaultRowHeight="15"/>
  <cols>
    <col min="1" max="1" width="47.8515625" style="96" customWidth="1"/>
    <col min="2" max="2" width="10.57421875" style="0" customWidth="1"/>
    <col min="3" max="3" width="32.57421875" style="96" customWidth="1"/>
    <col min="4" max="4" width="12.140625" style="0" hidden="1" customWidth="1"/>
    <col min="5" max="6" width="12.140625" style="0" customWidth="1"/>
    <col min="7" max="7" width="12.7109375" style="0" customWidth="1"/>
    <col min="8" max="8" width="14.28125" style="97" customWidth="1"/>
    <col min="9" max="9" width="14.8515625" style="97" customWidth="1"/>
    <col min="10" max="10" width="12.140625" style="97" customWidth="1"/>
    <col min="11" max="11" width="14.421875" style="97" customWidth="1"/>
    <col min="12" max="12" width="17.57421875" style="0" customWidth="1"/>
    <col min="13" max="13" width="14.57421875" style="99" customWidth="1"/>
    <col min="14" max="14" width="28.28125" style="0" customWidth="1"/>
    <col min="15" max="15" width="48.28125" style="0" customWidth="1"/>
  </cols>
  <sheetData>
    <row r="1" spans="1:13" ht="15">
      <c r="A1" s="96" t="s">
        <v>267</v>
      </c>
      <c r="G1" s="98">
        <f>G5+G6+G9+G10+G11+G12+G15+G16+G17+G18+G20+G21+G22+G23+G31+G32+G34+G35+G36+G37+G38+G39+G41+G42+G43+G50+G51+G52+G54+G55+G62+G69+G70+G71+'[4]Тех.присоединение'!H1</f>
        <v>5248205.704521692</v>
      </c>
      <c r="K1" s="97" t="s">
        <v>268</v>
      </c>
      <c r="L1" s="98">
        <f>L5+L6+L9+L10+L11+L12+L15+L16+L17+L18+L20+L21+L22+L23+L31+L32+L34+L35+L36+L37+L38+L39+L41+L42+L43+L50+L51+L52+L54+L55+L62+L69+L70+L71+'[4]Тех.присоединение'!O1</f>
        <v>-5194305.704521692</v>
      </c>
      <c r="M1" s="98">
        <f>L1+L2</f>
        <v>-10475374.113461956</v>
      </c>
    </row>
    <row r="2" spans="1:14" ht="15">
      <c r="A2" s="96" t="s">
        <v>205</v>
      </c>
      <c r="G2" s="98">
        <f>G8+G13+G14+G24+G27+G28+G29+G30+G33+G40+G44+G45+G46+G47+G49+G53+G57+G58+G60+G61+G64+G66+G67+G68+G73+G75+G76+G77+G78+'[4]Тех.присоединение'!H2</f>
        <v>6179181.638940263</v>
      </c>
      <c r="K2" s="97" t="s">
        <v>269</v>
      </c>
      <c r="L2" s="98">
        <f>L8+L13+L14+L24+L27+L28+L29+L30+L33+L40+L44+L45+L46+L47+L49+L53+L57+L58+L60+L61+L64+L66+L67+L68+L73+L75+L76+L77+L78+'[4]Тех.присоединение'!O2</f>
        <v>-5281068.408940263</v>
      </c>
      <c r="M2" s="351" t="s">
        <v>206</v>
      </c>
      <c r="N2" s="352"/>
    </row>
    <row r="3" spans="1:15" ht="15">
      <c r="A3" s="344" t="s">
        <v>207</v>
      </c>
      <c r="B3" s="344" t="s">
        <v>208</v>
      </c>
      <c r="C3" s="344" t="s">
        <v>209</v>
      </c>
      <c r="D3" s="344" t="s">
        <v>210</v>
      </c>
      <c r="E3" s="344" t="s">
        <v>211</v>
      </c>
      <c r="F3" s="344" t="s">
        <v>212</v>
      </c>
      <c r="G3" s="346" t="s">
        <v>213</v>
      </c>
      <c r="H3" s="347"/>
      <c r="I3" s="347"/>
      <c r="J3" s="347"/>
      <c r="K3" s="348"/>
      <c r="L3" s="354" t="s">
        <v>214</v>
      </c>
      <c r="M3" s="350" t="s">
        <v>215</v>
      </c>
      <c r="N3" s="350"/>
      <c r="O3" s="344" t="s">
        <v>216</v>
      </c>
    </row>
    <row r="4" spans="1:15" ht="15">
      <c r="A4" s="345"/>
      <c r="B4" s="345"/>
      <c r="C4" s="345"/>
      <c r="D4" s="345"/>
      <c r="E4" s="345"/>
      <c r="F4" s="345"/>
      <c r="G4" s="101" t="s">
        <v>217</v>
      </c>
      <c r="H4" s="102" t="s">
        <v>218</v>
      </c>
      <c r="I4" s="102" t="s">
        <v>219</v>
      </c>
      <c r="J4" s="102" t="s">
        <v>220</v>
      </c>
      <c r="K4" s="102" t="s">
        <v>221</v>
      </c>
      <c r="L4" s="355"/>
      <c r="M4" s="103" t="s">
        <v>222</v>
      </c>
      <c r="N4" s="100" t="s">
        <v>223</v>
      </c>
      <c r="O4" s="345"/>
    </row>
    <row r="5" spans="1:15" ht="30.75" customHeight="1">
      <c r="A5" s="104" t="s">
        <v>270</v>
      </c>
      <c r="B5" s="80">
        <v>5180001</v>
      </c>
      <c r="C5" s="114" t="s">
        <v>271</v>
      </c>
      <c r="D5" s="80"/>
      <c r="E5" s="105">
        <v>550</v>
      </c>
      <c r="F5" s="105">
        <v>550</v>
      </c>
      <c r="G5" s="125">
        <f aca="true" t="shared" si="0" ref="G5:G19">SUM(H5:K5)</f>
        <v>20797.66</v>
      </c>
      <c r="H5" s="105">
        <v>11176.45</v>
      </c>
      <c r="I5" s="105">
        <f>3836.41+858.52</f>
        <v>4694.93</v>
      </c>
      <c r="J5" s="105">
        <f>1166.27+260.99</f>
        <v>1427.26</v>
      </c>
      <c r="K5" s="105">
        <v>3499.02</v>
      </c>
      <c r="L5" s="105">
        <f>E5-G5</f>
        <v>-20247.66</v>
      </c>
      <c r="M5" s="106">
        <v>0.06</v>
      </c>
      <c r="N5" s="80" t="s">
        <v>272</v>
      </c>
      <c r="O5" s="356"/>
    </row>
    <row r="6" spans="1:15" ht="21" customHeight="1">
      <c r="A6" s="104" t="s">
        <v>273</v>
      </c>
      <c r="B6" s="80">
        <v>5155001</v>
      </c>
      <c r="C6" s="126" t="s">
        <v>274</v>
      </c>
      <c r="D6" s="107"/>
      <c r="E6" s="108">
        <v>550</v>
      </c>
      <c r="F6" s="105">
        <v>550</v>
      </c>
      <c r="G6" s="125">
        <f t="shared" si="0"/>
        <v>11017.91</v>
      </c>
      <c r="H6" s="105">
        <v>4969.44</v>
      </c>
      <c r="I6" s="105">
        <f>1270.46+684.64</f>
        <v>1955.1</v>
      </c>
      <c r="J6" s="105">
        <f>386.22+208.13</f>
        <v>594.35</v>
      </c>
      <c r="K6" s="105">
        <v>3499.02</v>
      </c>
      <c r="L6" s="105">
        <f aca="true" t="shared" si="1" ref="L6:L69">E6-G6</f>
        <v>-10467.91</v>
      </c>
      <c r="M6" s="127">
        <v>0.035</v>
      </c>
      <c r="N6" s="128" t="s">
        <v>597</v>
      </c>
      <c r="O6" s="357"/>
    </row>
    <row r="7" spans="1:15" ht="32.25" customHeight="1">
      <c r="A7" s="104" t="s">
        <v>235</v>
      </c>
      <c r="B7" s="80">
        <v>1625006</v>
      </c>
      <c r="C7" s="126" t="s">
        <v>275</v>
      </c>
      <c r="D7" s="107"/>
      <c r="E7" s="108">
        <v>6083441.68</v>
      </c>
      <c r="F7" s="105">
        <v>3589230.59</v>
      </c>
      <c r="G7" s="177">
        <f t="shared" si="0"/>
        <v>1074351.14</v>
      </c>
      <c r="H7" s="105">
        <f>415093.67+349334.21</f>
        <v>764427.88</v>
      </c>
      <c r="I7" s="105">
        <f>33328.55+20390.42+66052.36+36170.16</f>
        <v>155941.49</v>
      </c>
      <c r="J7" s="105">
        <f>10131.88+6198.69+20079.92+10995.73</f>
        <v>47406.22</v>
      </c>
      <c r="K7" s="105">
        <f>41935.31+64640.24</f>
        <v>106575.54999999999</v>
      </c>
      <c r="L7" s="105">
        <f t="shared" si="1"/>
        <v>5009090.54</v>
      </c>
      <c r="M7" s="106">
        <v>1.418</v>
      </c>
      <c r="N7" s="80" t="s">
        <v>236</v>
      </c>
      <c r="O7" s="358"/>
    </row>
    <row r="8" spans="1:15" ht="30.75" customHeight="1">
      <c r="A8" s="104" t="s">
        <v>237</v>
      </c>
      <c r="B8" s="80">
        <v>548004</v>
      </c>
      <c r="C8" s="126" t="s">
        <v>276</v>
      </c>
      <c r="D8" s="107"/>
      <c r="E8" s="108">
        <v>16411.55</v>
      </c>
      <c r="F8" s="105">
        <v>16411.55</v>
      </c>
      <c r="G8" s="177">
        <f t="shared" si="0"/>
        <v>203260.28</v>
      </c>
      <c r="H8" s="105">
        <f>87026.87+20040.67</f>
        <v>107067.54</v>
      </c>
      <c r="I8" s="105">
        <f>15103.11+6527.33+19928.28+4366.65</f>
        <v>45925.37</v>
      </c>
      <c r="J8" s="105">
        <f>4591.34+1984.31+6058.2+1327.46</f>
        <v>13961.309999999998</v>
      </c>
      <c r="K8" s="105">
        <f>23453.14+12852.92</f>
        <v>36306.06</v>
      </c>
      <c r="L8" s="105">
        <f t="shared" si="1"/>
        <v>-186848.73</v>
      </c>
      <c r="M8" s="106">
        <v>0.185</v>
      </c>
      <c r="N8" s="80" t="s">
        <v>229</v>
      </c>
      <c r="O8" s="80"/>
    </row>
    <row r="9" spans="1:15" ht="15" customHeight="1">
      <c r="A9" s="104" t="s">
        <v>277</v>
      </c>
      <c r="B9" s="80">
        <v>4986001</v>
      </c>
      <c r="C9" s="126" t="s">
        <v>233</v>
      </c>
      <c r="D9" s="107"/>
      <c r="E9" s="130">
        <v>550</v>
      </c>
      <c r="F9" s="131">
        <v>550</v>
      </c>
      <c r="G9" s="177">
        <f t="shared" si="0"/>
        <v>60763.57000000001</v>
      </c>
      <c r="H9" s="105">
        <v>18714.83</v>
      </c>
      <c r="I9" s="105">
        <f>11735.89+6106.6</f>
        <v>17842.489999999998</v>
      </c>
      <c r="J9" s="105">
        <f>3567.71+1856.41</f>
        <v>5424.12</v>
      </c>
      <c r="K9" s="105">
        <v>18782.13</v>
      </c>
      <c r="L9" s="105">
        <f t="shared" si="1"/>
        <v>-60213.57000000001</v>
      </c>
      <c r="M9" s="106">
        <v>0.03</v>
      </c>
      <c r="N9" s="80" t="s">
        <v>278</v>
      </c>
      <c r="O9" s="356"/>
    </row>
    <row r="10" spans="1:15" ht="30.75" customHeight="1">
      <c r="A10" s="104" t="s">
        <v>279</v>
      </c>
      <c r="B10" s="80">
        <v>4986001</v>
      </c>
      <c r="C10" s="126" t="s">
        <v>233</v>
      </c>
      <c r="D10" s="109"/>
      <c r="E10" s="130">
        <v>550</v>
      </c>
      <c r="F10" s="131">
        <v>550</v>
      </c>
      <c r="G10" s="177">
        <f t="shared" si="0"/>
        <v>99764.40999999999</v>
      </c>
      <c r="H10" s="105">
        <v>61055.4</v>
      </c>
      <c r="I10" s="105">
        <f>11794.16+5355.28</f>
        <v>17149.44</v>
      </c>
      <c r="J10" s="105">
        <f>3585.42+1628.01</f>
        <v>5213.43</v>
      </c>
      <c r="K10" s="105">
        <v>16346.14</v>
      </c>
      <c r="L10" s="105">
        <f t="shared" si="1"/>
        <v>-99214.40999999999</v>
      </c>
      <c r="M10" s="106">
        <v>0.09</v>
      </c>
      <c r="N10" s="80" t="s">
        <v>280</v>
      </c>
      <c r="O10" s="358"/>
    </row>
    <row r="11" spans="1:15" ht="18" customHeight="1">
      <c r="A11" s="104" t="s">
        <v>281</v>
      </c>
      <c r="B11" s="80">
        <v>4986001</v>
      </c>
      <c r="C11" s="132" t="s">
        <v>233</v>
      </c>
      <c r="D11" s="107"/>
      <c r="E11" s="108">
        <v>550</v>
      </c>
      <c r="F11" s="105">
        <v>550</v>
      </c>
      <c r="G11" s="125">
        <f t="shared" si="0"/>
        <v>203998.4</v>
      </c>
      <c r="H11" s="105">
        <v>180420</v>
      </c>
      <c r="I11" s="105">
        <f>11592.64+2430.08</f>
        <v>14022.72</v>
      </c>
      <c r="J11" s="105">
        <f>3524.16+738.75</f>
        <v>4262.91</v>
      </c>
      <c r="K11" s="105">
        <v>5292.77</v>
      </c>
      <c r="L11" s="105">
        <f t="shared" si="1"/>
        <v>-203448.4</v>
      </c>
      <c r="M11" s="176"/>
      <c r="N11" s="107"/>
      <c r="O11" s="80"/>
    </row>
    <row r="12" spans="1:15" ht="15" customHeight="1">
      <c r="A12" s="104" t="s">
        <v>282</v>
      </c>
      <c r="B12" s="80">
        <v>5156001</v>
      </c>
      <c r="C12" s="132" t="s">
        <v>283</v>
      </c>
      <c r="D12" s="107"/>
      <c r="E12" s="108">
        <v>550</v>
      </c>
      <c r="F12" s="105">
        <v>550</v>
      </c>
      <c r="G12" s="125">
        <f t="shared" si="0"/>
        <v>128989.47000000002</v>
      </c>
      <c r="H12" s="105">
        <v>66097.14</v>
      </c>
      <c r="I12" s="105">
        <f>21577.94+5654.99</f>
        <v>27232.93</v>
      </c>
      <c r="J12" s="105">
        <f>6559.7+1719.12</f>
        <v>8278.82</v>
      </c>
      <c r="K12" s="105">
        <v>27380.58</v>
      </c>
      <c r="L12" s="105">
        <f t="shared" si="1"/>
        <v>-128439.47000000002</v>
      </c>
      <c r="M12" s="127">
        <v>0.4</v>
      </c>
      <c r="N12" s="128" t="s">
        <v>589</v>
      </c>
      <c r="O12" s="80"/>
    </row>
    <row r="13" spans="1:15" ht="30">
      <c r="A13" s="104" t="s">
        <v>284</v>
      </c>
      <c r="B13" s="80">
        <v>2515007</v>
      </c>
      <c r="C13" s="132" t="s">
        <v>225</v>
      </c>
      <c r="D13" s="107"/>
      <c r="E13" s="108">
        <v>16411.55</v>
      </c>
      <c r="F13" s="105">
        <v>7385.2</v>
      </c>
      <c r="G13" s="129">
        <f t="shared" si="0"/>
        <v>294893.59</v>
      </c>
      <c r="H13" s="105">
        <v>261625</v>
      </c>
      <c r="I13" s="105">
        <f>13459.96+4086.18</f>
        <v>17546.14</v>
      </c>
      <c r="J13" s="105">
        <f>4091.83+1242.2</f>
        <v>5334.03</v>
      </c>
      <c r="K13" s="105">
        <v>10388.42</v>
      </c>
      <c r="L13" s="105">
        <f t="shared" si="1"/>
        <v>-278482.04000000004</v>
      </c>
      <c r="M13" s="176"/>
      <c r="N13" s="107"/>
      <c r="O13" s="80"/>
    </row>
    <row r="14" spans="1:15" ht="30.75" customHeight="1">
      <c r="A14" s="104" t="s">
        <v>285</v>
      </c>
      <c r="B14" s="80">
        <v>2515007</v>
      </c>
      <c r="C14" s="132" t="s">
        <v>225</v>
      </c>
      <c r="D14" s="107"/>
      <c r="E14" s="108">
        <v>16411.55</v>
      </c>
      <c r="F14" s="105">
        <v>7385.2</v>
      </c>
      <c r="G14" s="129">
        <f t="shared" si="0"/>
        <v>294893.59</v>
      </c>
      <c r="H14" s="105">
        <v>261625</v>
      </c>
      <c r="I14" s="105">
        <f>13459.96+4086.18</f>
        <v>17546.14</v>
      </c>
      <c r="J14" s="105">
        <f>4091.83+1242.2</f>
        <v>5334.03</v>
      </c>
      <c r="K14" s="105">
        <v>10388.42</v>
      </c>
      <c r="L14" s="105">
        <f t="shared" si="1"/>
        <v>-278482.04000000004</v>
      </c>
      <c r="M14" s="176"/>
      <c r="N14" s="107"/>
      <c r="O14" s="356"/>
    </row>
    <row r="15" spans="1:15" ht="15" customHeight="1">
      <c r="A15" s="104" t="s">
        <v>286</v>
      </c>
      <c r="B15" s="80">
        <v>5176001</v>
      </c>
      <c r="C15" s="132" t="s">
        <v>287</v>
      </c>
      <c r="D15" s="107"/>
      <c r="E15" s="108">
        <v>550</v>
      </c>
      <c r="F15" s="105">
        <v>550</v>
      </c>
      <c r="G15" s="125">
        <f t="shared" si="0"/>
        <v>89295.71999999999</v>
      </c>
      <c r="H15" s="105">
        <v>50254.39</v>
      </c>
      <c r="I15" s="105">
        <f>11924.37+4068.61</f>
        <v>15992.980000000001</v>
      </c>
      <c r="J15" s="105">
        <f>3625.01+1236.86</f>
        <v>4861.87</v>
      </c>
      <c r="K15" s="105">
        <v>18186.48</v>
      </c>
      <c r="L15" s="105">
        <f t="shared" si="1"/>
        <v>-88745.71999999999</v>
      </c>
      <c r="M15" s="106">
        <v>0.141</v>
      </c>
      <c r="N15" s="80" t="s">
        <v>224</v>
      </c>
      <c r="O15" s="357"/>
    </row>
    <row r="16" spans="1:15" ht="15" customHeight="1">
      <c r="A16" s="104" t="s">
        <v>286</v>
      </c>
      <c r="B16" s="80">
        <v>5149002</v>
      </c>
      <c r="C16" s="132" t="s">
        <v>288</v>
      </c>
      <c r="D16" s="107"/>
      <c r="E16" s="108">
        <v>550</v>
      </c>
      <c r="F16" s="105">
        <v>550</v>
      </c>
      <c r="G16" s="125">
        <f t="shared" si="0"/>
        <v>16846.83</v>
      </c>
      <c r="H16" s="105">
        <v>6608.83</v>
      </c>
      <c r="I16" s="105">
        <f>2255.82+1052.01</f>
        <v>3307.83</v>
      </c>
      <c r="J16" s="105">
        <f>685.77+319.81</f>
        <v>1005.5799999999999</v>
      </c>
      <c r="K16" s="105">
        <v>5924.59</v>
      </c>
      <c r="L16" s="105">
        <f t="shared" si="1"/>
        <v>-16296.830000000002</v>
      </c>
      <c r="M16" s="106">
        <v>0.02</v>
      </c>
      <c r="N16" s="80" t="s">
        <v>289</v>
      </c>
      <c r="O16" s="357"/>
    </row>
    <row r="17" spans="1:15" ht="15" customHeight="1">
      <c r="A17" s="104" t="s">
        <v>290</v>
      </c>
      <c r="B17" s="80">
        <v>5196001</v>
      </c>
      <c r="C17" s="132" t="s">
        <v>291</v>
      </c>
      <c r="D17" s="107"/>
      <c r="E17" s="108">
        <v>550</v>
      </c>
      <c r="F17" s="105">
        <v>550</v>
      </c>
      <c r="G17" s="125">
        <f t="shared" si="0"/>
        <v>16326.43</v>
      </c>
      <c r="H17" s="105">
        <v>6088.43</v>
      </c>
      <c r="I17" s="105">
        <f>2255.82+1052.01</f>
        <v>3307.83</v>
      </c>
      <c r="J17" s="105">
        <f>685.77+319.81</f>
        <v>1005.5799999999999</v>
      </c>
      <c r="K17" s="105">
        <v>5924.59</v>
      </c>
      <c r="L17" s="105">
        <f t="shared" si="1"/>
        <v>-15776.43</v>
      </c>
      <c r="M17" s="106">
        <v>0.03</v>
      </c>
      <c r="N17" s="80" t="s">
        <v>292</v>
      </c>
      <c r="O17" s="357"/>
    </row>
    <row r="18" spans="1:15" ht="15" customHeight="1">
      <c r="A18" s="104" t="s">
        <v>293</v>
      </c>
      <c r="B18" s="80">
        <v>4986001</v>
      </c>
      <c r="C18" s="132" t="s">
        <v>233</v>
      </c>
      <c r="D18" s="107"/>
      <c r="E18" s="108">
        <v>550</v>
      </c>
      <c r="F18" s="105">
        <v>550</v>
      </c>
      <c r="G18" s="125">
        <f t="shared" si="0"/>
        <v>358026.3</v>
      </c>
      <c r="H18" s="105">
        <f>122644.44+88182.87</f>
        <v>210827.31</v>
      </c>
      <c r="I18" s="105">
        <f>22708.33+10040.88+24989.17+5720.88</f>
        <v>63459.259999999995</v>
      </c>
      <c r="J18" s="105">
        <f>6903.33+3052.43+7596.71+1739.15</f>
        <v>19291.620000000003</v>
      </c>
      <c r="K18" s="105">
        <f>43535.64+20912.47</f>
        <v>64448.11</v>
      </c>
      <c r="L18" s="105">
        <f t="shared" si="1"/>
        <v>-357476.3</v>
      </c>
      <c r="M18" s="106">
        <v>0.45</v>
      </c>
      <c r="N18" s="80" t="s">
        <v>228</v>
      </c>
      <c r="O18" s="358"/>
    </row>
    <row r="19" spans="1:15" ht="30">
      <c r="A19" s="104" t="s">
        <v>294</v>
      </c>
      <c r="B19" s="124">
        <v>4046001</v>
      </c>
      <c r="C19" s="132" t="s">
        <v>295</v>
      </c>
      <c r="D19" s="109"/>
      <c r="E19" s="110">
        <v>998849.42</v>
      </c>
      <c r="F19" s="111">
        <v>852044.94</v>
      </c>
      <c r="G19" s="178">
        <f t="shared" si="0"/>
        <v>202134.52</v>
      </c>
      <c r="H19" s="111">
        <v>76799.01</v>
      </c>
      <c r="I19" s="111">
        <f>29593.91+17288.02</f>
        <v>46881.93</v>
      </c>
      <c r="J19" s="111">
        <f>8996.55+5255.56</f>
        <v>14252.11</v>
      </c>
      <c r="K19" s="111">
        <v>64201.47</v>
      </c>
      <c r="L19" s="105">
        <f t="shared" si="1"/>
        <v>796714.9</v>
      </c>
      <c r="M19" s="106">
        <v>0.18</v>
      </c>
      <c r="N19" s="80" t="s">
        <v>229</v>
      </c>
      <c r="O19" s="80"/>
    </row>
    <row r="20" spans="1:15" ht="30">
      <c r="A20" s="104" t="s">
        <v>296</v>
      </c>
      <c r="B20" s="80">
        <v>5156001</v>
      </c>
      <c r="C20" s="104" t="s">
        <v>283</v>
      </c>
      <c r="D20" s="80"/>
      <c r="E20" s="80">
        <v>550</v>
      </c>
      <c r="F20" s="112">
        <v>550</v>
      </c>
      <c r="G20" s="133">
        <f>SUM(H20:K20)</f>
        <v>98341.56</v>
      </c>
      <c r="H20" s="112">
        <v>55479.03</v>
      </c>
      <c r="I20" s="112">
        <f>17926.59+2860.44</f>
        <v>20787.03</v>
      </c>
      <c r="J20" s="112">
        <f>5449.68+869.57</f>
        <v>6319.25</v>
      </c>
      <c r="K20" s="112">
        <v>15756.25</v>
      </c>
      <c r="L20" s="105">
        <f t="shared" si="1"/>
        <v>-97791.56</v>
      </c>
      <c r="M20" s="106">
        <v>0.4</v>
      </c>
      <c r="N20" s="80" t="s">
        <v>297</v>
      </c>
      <c r="O20" s="80"/>
    </row>
    <row r="21" spans="1:15" ht="15" customHeight="1">
      <c r="A21" s="104" t="s">
        <v>298</v>
      </c>
      <c r="B21" s="80">
        <v>5167001</v>
      </c>
      <c r="C21" s="104" t="s">
        <v>299</v>
      </c>
      <c r="D21" s="80"/>
      <c r="E21" s="112">
        <v>550</v>
      </c>
      <c r="F21" s="112">
        <v>550</v>
      </c>
      <c r="G21" s="133">
        <f>SUM(H21:K21)</f>
        <v>668037.89</v>
      </c>
      <c r="H21" s="112">
        <f>246439.45+194307</f>
        <v>440746.45</v>
      </c>
      <c r="I21" s="112">
        <f>55495.39+17995.3+26129.59+4251.41</f>
        <v>103871.69</v>
      </c>
      <c r="J21" s="112">
        <f>16870.6+5470.57+7943.39+1292.43</f>
        <v>31576.989999999998</v>
      </c>
      <c r="K21" s="112">
        <f>71304.82+20537.94</f>
        <v>91842.76000000001</v>
      </c>
      <c r="L21" s="105">
        <f t="shared" si="1"/>
        <v>-667487.89</v>
      </c>
      <c r="M21" s="106">
        <v>0.9</v>
      </c>
      <c r="N21" s="80" t="s">
        <v>300</v>
      </c>
      <c r="O21" s="80"/>
    </row>
    <row r="22" spans="1:15" ht="15" customHeight="1">
      <c r="A22" s="104" t="s">
        <v>301</v>
      </c>
      <c r="B22" s="80">
        <v>5189001</v>
      </c>
      <c r="C22" s="104" t="s">
        <v>302</v>
      </c>
      <c r="D22" s="80"/>
      <c r="E22" s="112">
        <v>550</v>
      </c>
      <c r="F22" s="112">
        <v>550</v>
      </c>
      <c r="G22" s="133">
        <f>SUM(H22:K22)</f>
        <v>143099.99999999997</v>
      </c>
      <c r="H22" s="112">
        <v>77033.9</v>
      </c>
      <c r="I22" s="112">
        <f>22138.12+6868.12</f>
        <v>29006.239999999998</v>
      </c>
      <c r="J22" s="112">
        <f>6729.99+2087.91</f>
        <v>8817.9</v>
      </c>
      <c r="K22" s="112">
        <v>28241.96</v>
      </c>
      <c r="L22" s="105">
        <f t="shared" si="1"/>
        <v>-142549.99999999997</v>
      </c>
      <c r="M22" s="106">
        <v>0.2</v>
      </c>
      <c r="N22" s="80" t="s">
        <v>297</v>
      </c>
      <c r="O22" s="80"/>
    </row>
    <row r="23" spans="1:15" ht="15" customHeight="1">
      <c r="A23" s="104" t="s">
        <v>227</v>
      </c>
      <c r="B23" s="80">
        <v>5205001</v>
      </c>
      <c r="C23" s="104" t="s">
        <v>303</v>
      </c>
      <c r="D23" s="80"/>
      <c r="E23" s="112">
        <v>550</v>
      </c>
      <c r="F23" s="112">
        <v>550</v>
      </c>
      <c r="G23" s="133">
        <f>SUM(H23:K23)</f>
        <v>147900.13</v>
      </c>
      <c r="H23" s="112">
        <f>31516.55+44569.6</f>
        <v>76086.15</v>
      </c>
      <c r="I23" s="112">
        <f>11589.24+2994.92+15295.6+2164.96</f>
        <v>32044.72</v>
      </c>
      <c r="J23" s="112">
        <f>3523.13+910.45+4649.86+658.15</f>
        <v>9741.589999999998</v>
      </c>
      <c r="K23" s="112">
        <f>17929.52+12098.15</f>
        <v>30027.67</v>
      </c>
      <c r="L23" s="105">
        <f t="shared" si="1"/>
        <v>-147350.13</v>
      </c>
      <c r="M23" s="106">
        <v>0.33</v>
      </c>
      <c r="N23" s="80" t="s">
        <v>297</v>
      </c>
      <c r="O23" s="80"/>
    </row>
    <row r="24" spans="1:15" ht="15" customHeight="1">
      <c r="A24" s="104" t="s">
        <v>304</v>
      </c>
      <c r="B24" s="80">
        <v>1704002</v>
      </c>
      <c r="C24" s="104" t="s">
        <v>234</v>
      </c>
      <c r="D24" s="80"/>
      <c r="E24" s="134">
        <v>16689.71</v>
      </c>
      <c r="F24" s="134">
        <v>16411.55</v>
      </c>
      <c r="G24" s="179">
        <f aca="true" t="shared" si="2" ref="G24:G79">SUM(H24:K24)</f>
        <v>54523.26</v>
      </c>
      <c r="H24" s="134">
        <v>7753.56</v>
      </c>
      <c r="I24" s="134">
        <f>21254.17+5356.08</f>
        <v>26610.25</v>
      </c>
      <c r="J24" s="134">
        <f>6461.27+1628.25</f>
        <v>8089.52</v>
      </c>
      <c r="K24" s="134">
        <v>12069.93</v>
      </c>
      <c r="L24" s="136">
        <f t="shared" si="1"/>
        <v>-37833.55</v>
      </c>
      <c r="M24" s="106">
        <v>0.008</v>
      </c>
      <c r="N24" s="80" t="s">
        <v>229</v>
      </c>
      <c r="O24" s="80"/>
    </row>
    <row r="25" spans="1:15" ht="15" customHeight="1">
      <c r="A25" s="104" t="s">
        <v>305</v>
      </c>
      <c r="B25" s="80">
        <v>5075001</v>
      </c>
      <c r="C25" s="104" t="s">
        <v>306</v>
      </c>
      <c r="D25" s="80"/>
      <c r="E25" s="134">
        <v>1146635.77</v>
      </c>
      <c r="F25" s="134">
        <v>687981.46</v>
      </c>
      <c r="G25" s="179">
        <f t="shared" si="2"/>
        <v>369638.49999999994</v>
      </c>
      <c r="H25" s="134">
        <f>30144+142461.33</f>
        <v>172605.33</v>
      </c>
      <c r="I25" s="134">
        <f>15103.11+8388.61+68150.75+18325.98</f>
        <v>109968.45</v>
      </c>
      <c r="J25" s="134">
        <f>4591.34+2550.14+20717.83+5571.1</f>
        <v>33430.41</v>
      </c>
      <c r="K25" s="134">
        <f>25760.97+27873.34</f>
        <v>53634.31</v>
      </c>
      <c r="L25" s="136">
        <f t="shared" si="1"/>
        <v>776997.27</v>
      </c>
      <c r="M25" s="106">
        <v>0.241</v>
      </c>
      <c r="N25" s="80" t="s">
        <v>307</v>
      </c>
      <c r="O25" s="80"/>
    </row>
    <row r="26" spans="1:15" ht="30">
      <c r="A26" s="104" t="s">
        <v>308</v>
      </c>
      <c r="B26" s="80">
        <v>4832001</v>
      </c>
      <c r="C26" s="104" t="s">
        <v>309</v>
      </c>
      <c r="D26" s="80"/>
      <c r="E26" s="134">
        <v>5542716.33</v>
      </c>
      <c r="F26" s="134">
        <v>3325629.8</v>
      </c>
      <c r="G26" s="179">
        <f t="shared" si="2"/>
        <v>597884.81</v>
      </c>
      <c r="H26" s="134">
        <f>354.05+227579.03</f>
        <v>227933.08</v>
      </c>
      <c r="I26" s="134">
        <f>33836.37+26311.49+93947.29+39175.51</f>
        <v>193270.66</v>
      </c>
      <c r="J26" s="134">
        <f>10286.26+7998.69+28559.98+11909.35</f>
        <v>58754.28</v>
      </c>
      <c r="K26" s="134">
        <f>67816.09+50110.7</f>
        <v>117926.79</v>
      </c>
      <c r="L26" s="136">
        <f t="shared" si="1"/>
        <v>4944831.52</v>
      </c>
      <c r="M26" s="106">
        <v>0.402</v>
      </c>
      <c r="N26" s="80" t="s">
        <v>236</v>
      </c>
      <c r="O26" s="80"/>
    </row>
    <row r="27" spans="1:15" ht="30">
      <c r="A27" s="104" t="s">
        <v>310</v>
      </c>
      <c r="B27" s="80">
        <v>2479003</v>
      </c>
      <c r="C27" s="104" t="s">
        <v>311</v>
      </c>
      <c r="D27" s="80"/>
      <c r="E27" s="134">
        <v>16411.55</v>
      </c>
      <c r="F27" s="134">
        <v>16411.55</v>
      </c>
      <c r="G27" s="135">
        <f t="shared" si="2"/>
        <v>238940.57</v>
      </c>
      <c r="H27" s="134">
        <v>200039.42</v>
      </c>
      <c r="I27" s="134">
        <f>17082.66+4720.73</f>
        <v>21803.39</v>
      </c>
      <c r="J27" s="134">
        <f>5193.13+1435.1</f>
        <v>6628.23</v>
      </c>
      <c r="K27" s="134">
        <v>10469.53</v>
      </c>
      <c r="L27" s="136">
        <f t="shared" si="1"/>
        <v>-222529.02000000002</v>
      </c>
      <c r="M27" s="176"/>
      <c r="N27" s="107"/>
      <c r="O27" s="80"/>
    </row>
    <row r="28" spans="1:15" ht="27.75" customHeight="1">
      <c r="A28" s="104" t="s">
        <v>312</v>
      </c>
      <c r="B28" s="80">
        <v>5237002</v>
      </c>
      <c r="C28" s="104" t="s">
        <v>313</v>
      </c>
      <c r="D28" s="80"/>
      <c r="E28" s="134">
        <v>16689.71</v>
      </c>
      <c r="F28" s="134">
        <v>16689.71</v>
      </c>
      <c r="G28" s="135">
        <f t="shared" si="2"/>
        <v>302370.13</v>
      </c>
      <c r="H28" s="134">
        <v>269166.67</v>
      </c>
      <c r="I28" s="134">
        <f>13459.96+4086.18</f>
        <v>17546.14</v>
      </c>
      <c r="J28" s="134">
        <f>4091.83+1242.2</f>
        <v>5334.03</v>
      </c>
      <c r="K28" s="134">
        <v>10323.29</v>
      </c>
      <c r="L28" s="136">
        <f t="shared" si="1"/>
        <v>-285680.42</v>
      </c>
      <c r="M28" s="176"/>
      <c r="N28" s="107"/>
      <c r="O28" s="80"/>
    </row>
    <row r="29" spans="1:15" ht="28.5" customHeight="1">
      <c r="A29" s="104" t="s">
        <v>314</v>
      </c>
      <c r="B29" s="80">
        <v>1275011</v>
      </c>
      <c r="C29" s="104" t="s">
        <v>315</v>
      </c>
      <c r="D29" s="80"/>
      <c r="E29" s="134">
        <v>16689.71</v>
      </c>
      <c r="F29" s="134">
        <v>13908.09</v>
      </c>
      <c r="G29" s="135">
        <f t="shared" si="2"/>
        <v>226953.46000000002</v>
      </c>
      <c r="H29" s="134">
        <v>193750</v>
      </c>
      <c r="I29" s="134">
        <f>13459.96+4086.18</f>
        <v>17546.14</v>
      </c>
      <c r="J29" s="134">
        <f>4091.83+1242.2</f>
        <v>5334.03</v>
      </c>
      <c r="K29" s="134">
        <v>10323.29</v>
      </c>
      <c r="L29" s="136">
        <f t="shared" si="1"/>
        <v>-210263.75000000003</v>
      </c>
      <c r="M29" s="176"/>
      <c r="N29" s="107"/>
      <c r="O29" s="80"/>
    </row>
    <row r="30" spans="1:15" ht="30">
      <c r="A30" s="104" t="s">
        <v>316</v>
      </c>
      <c r="B30" s="80">
        <v>1275011</v>
      </c>
      <c r="C30" s="104" t="s">
        <v>315</v>
      </c>
      <c r="D30" s="80"/>
      <c r="E30" s="134">
        <v>16689.71</v>
      </c>
      <c r="F30" s="134">
        <v>13908.09</v>
      </c>
      <c r="G30" s="179">
        <f t="shared" si="2"/>
        <v>69687.17</v>
      </c>
      <c r="H30" s="134">
        <v>16123.05</v>
      </c>
      <c r="I30" s="134">
        <f>19450.35+8382.46</f>
        <v>27832.809999999998</v>
      </c>
      <c r="J30" s="134">
        <f>5912.91+2548.27</f>
        <v>8461.18</v>
      </c>
      <c r="K30" s="134">
        <v>17270.13</v>
      </c>
      <c r="L30" s="136">
        <f t="shared" si="1"/>
        <v>-52997.46</v>
      </c>
      <c r="M30" s="106">
        <v>0.03</v>
      </c>
      <c r="N30" s="80" t="s">
        <v>229</v>
      </c>
      <c r="O30" s="80"/>
    </row>
    <row r="31" spans="1:15" ht="33" customHeight="1">
      <c r="A31" s="104" t="s">
        <v>317</v>
      </c>
      <c r="B31" s="80">
        <v>5167001</v>
      </c>
      <c r="C31" s="104" t="s">
        <v>299</v>
      </c>
      <c r="D31" s="80"/>
      <c r="E31" s="134">
        <v>550</v>
      </c>
      <c r="F31" s="134">
        <v>550</v>
      </c>
      <c r="G31" s="179">
        <f t="shared" si="2"/>
        <v>60997.270000000004</v>
      </c>
      <c r="H31" s="134">
        <v>24563.67</v>
      </c>
      <c r="I31" s="134">
        <f>13967.78+6345.52</f>
        <v>20313.300000000003</v>
      </c>
      <c r="J31" s="134">
        <f>4246.21+1929.04</f>
        <v>6175.25</v>
      </c>
      <c r="K31" s="134">
        <v>9945.05</v>
      </c>
      <c r="L31" s="136">
        <f t="shared" si="1"/>
        <v>-60447.270000000004</v>
      </c>
      <c r="M31" s="106">
        <v>0.07</v>
      </c>
      <c r="N31" s="80" t="s">
        <v>318</v>
      </c>
      <c r="O31" s="80"/>
    </row>
    <row r="32" spans="1:15" ht="29.25" customHeight="1">
      <c r="A32" s="104" t="s">
        <v>227</v>
      </c>
      <c r="B32" s="80">
        <v>5206001</v>
      </c>
      <c r="C32" s="104" t="s">
        <v>319</v>
      </c>
      <c r="D32" s="80"/>
      <c r="E32" s="134">
        <v>550</v>
      </c>
      <c r="F32" s="134">
        <v>550</v>
      </c>
      <c r="G32" s="133">
        <f t="shared" si="2"/>
        <v>142380.69999999998</v>
      </c>
      <c r="H32" s="134">
        <v>76326.18</v>
      </c>
      <c r="I32" s="134">
        <f>26129.59+5538.08</f>
        <v>31667.67</v>
      </c>
      <c r="J32" s="134">
        <f>7943.39+1683.58</f>
        <v>9626.970000000001</v>
      </c>
      <c r="K32" s="134">
        <v>24759.88</v>
      </c>
      <c r="L32" s="136">
        <f t="shared" si="1"/>
        <v>-141830.69999999998</v>
      </c>
      <c r="M32" s="113" t="s">
        <v>320</v>
      </c>
      <c r="N32" s="114" t="s">
        <v>321</v>
      </c>
      <c r="O32" s="80"/>
    </row>
    <row r="33" spans="1:15" ht="30">
      <c r="A33" s="104" t="s">
        <v>322</v>
      </c>
      <c r="B33" s="80">
        <v>1275011</v>
      </c>
      <c r="C33" s="104" t="s">
        <v>315</v>
      </c>
      <c r="D33" s="80"/>
      <c r="E33" s="134">
        <v>16689.71</v>
      </c>
      <c r="F33" s="134">
        <v>13908.09</v>
      </c>
      <c r="G33" s="135">
        <f t="shared" si="2"/>
        <v>67843.18999999999</v>
      </c>
      <c r="H33" s="134">
        <v>39643.52</v>
      </c>
      <c r="I33" s="134">
        <f>8503.11+2738.57</f>
        <v>11241.68</v>
      </c>
      <c r="J33" s="134">
        <f>2584.95+832.53</f>
        <v>3417.4799999999996</v>
      </c>
      <c r="K33" s="134">
        <v>13540.51</v>
      </c>
      <c r="L33" s="136">
        <f t="shared" si="1"/>
        <v>-51153.47999999999</v>
      </c>
      <c r="M33" s="127">
        <v>0.07</v>
      </c>
      <c r="N33" s="128" t="s">
        <v>596</v>
      </c>
      <c r="O33" s="80" t="s">
        <v>595</v>
      </c>
    </row>
    <row r="34" spans="1:15" ht="15">
      <c r="A34" s="104" t="s">
        <v>323</v>
      </c>
      <c r="B34" s="80">
        <v>5228001</v>
      </c>
      <c r="C34" s="104" t="s">
        <v>324</v>
      </c>
      <c r="D34" s="80"/>
      <c r="E34" s="134">
        <v>550</v>
      </c>
      <c r="F34" s="134">
        <v>550</v>
      </c>
      <c r="G34" s="133">
        <f>SUM(H34:K34)</f>
        <v>15389.130000000001</v>
      </c>
      <c r="H34" s="134">
        <v>6467.17</v>
      </c>
      <c r="I34" s="134">
        <f>1555.57+1052.01</f>
        <v>2607.58</v>
      </c>
      <c r="J34" s="134">
        <f>472.89+319.81</f>
        <v>792.7</v>
      </c>
      <c r="K34" s="134">
        <v>5521.68</v>
      </c>
      <c r="L34" s="136">
        <f>E34-G34</f>
        <v>-14839.130000000001</v>
      </c>
      <c r="M34" s="127">
        <v>0.035</v>
      </c>
      <c r="N34" s="128" t="s">
        <v>591</v>
      </c>
      <c r="O34" s="80"/>
    </row>
    <row r="35" spans="1:15" ht="15">
      <c r="A35" s="104" t="s">
        <v>325</v>
      </c>
      <c r="B35" s="80">
        <v>3761002</v>
      </c>
      <c r="C35" s="104" t="s">
        <v>326</v>
      </c>
      <c r="D35" s="80"/>
      <c r="E35" s="134">
        <v>550</v>
      </c>
      <c r="F35" s="134">
        <v>550</v>
      </c>
      <c r="G35" s="133">
        <f t="shared" si="2"/>
        <v>17510.6</v>
      </c>
      <c r="H35" s="134">
        <v>7174.62</v>
      </c>
      <c r="I35" s="134">
        <f>2255.82+1052.01</f>
        <v>3307.83</v>
      </c>
      <c r="J35" s="134">
        <f>685.77+319.81</f>
        <v>1005.5799999999999</v>
      </c>
      <c r="K35" s="134">
        <v>6022.57</v>
      </c>
      <c r="L35" s="136">
        <f t="shared" si="1"/>
        <v>-16960.6</v>
      </c>
      <c r="M35" s="106">
        <v>0.06</v>
      </c>
      <c r="N35" s="80" t="s">
        <v>292</v>
      </c>
      <c r="O35" s="80"/>
    </row>
    <row r="36" spans="1:15" ht="33" customHeight="1">
      <c r="A36" s="104" t="s">
        <v>227</v>
      </c>
      <c r="B36" s="80">
        <v>4222002</v>
      </c>
      <c r="C36" s="104" t="s">
        <v>327</v>
      </c>
      <c r="D36" s="80"/>
      <c r="E36" s="134">
        <v>550</v>
      </c>
      <c r="F36" s="134">
        <v>550</v>
      </c>
      <c r="G36" s="133">
        <f>SUM(H36:K36)</f>
        <v>74946.15</v>
      </c>
      <c r="H36" s="134">
        <v>45313.15</v>
      </c>
      <c r="I36" s="134">
        <f>7672.82+2738.57</f>
        <v>10411.39</v>
      </c>
      <c r="J36" s="134">
        <f>2332.54+832.53</f>
        <v>3165.0699999999997</v>
      </c>
      <c r="K36" s="134">
        <v>16056.54</v>
      </c>
      <c r="L36" s="136">
        <f t="shared" si="1"/>
        <v>-74396.15</v>
      </c>
      <c r="M36" s="113" t="s">
        <v>328</v>
      </c>
      <c r="N36" s="104" t="s">
        <v>329</v>
      </c>
      <c r="O36" s="80"/>
    </row>
    <row r="37" spans="1:15" ht="28.5" customHeight="1">
      <c r="A37" s="104" t="s">
        <v>330</v>
      </c>
      <c r="B37" s="80">
        <v>5083001</v>
      </c>
      <c r="C37" s="104" t="s">
        <v>331</v>
      </c>
      <c r="D37" s="80"/>
      <c r="E37" s="134">
        <v>550</v>
      </c>
      <c r="F37" s="134">
        <v>550</v>
      </c>
      <c r="G37" s="133">
        <f t="shared" si="2"/>
        <v>50323.05000000001</v>
      </c>
      <c r="H37" s="134">
        <v>35582.69</v>
      </c>
      <c r="I37" s="134">
        <f>3941.44+1399.75</f>
        <v>5341.1900000000005</v>
      </c>
      <c r="J37" s="134">
        <f>1198.2+425.53</f>
        <v>1623.73</v>
      </c>
      <c r="K37" s="134">
        <v>7775.44</v>
      </c>
      <c r="L37" s="136">
        <f t="shared" si="1"/>
        <v>-49773.05000000001</v>
      </c>
      <c r="M37" s="106">
        <v>0.03</v>
      </c>
      <c r="N37" s="80" t="s">
        <v>332</v>
      </c>
      <c r="O37" s="80"/>
    </row>
    <row r="38" spans="1:15" ht="15" customHeight="1">
      <c r="A38" s="104" t="s">
        <v>293</v>
      </c>
      <c r="B38" s="80">
        <v>5231001</v>
      </c>
      <c r="C38" s="104" t="s">
        <v>333</v>
      </c>
      <c r="D38" s="80"/>
      <c r="E38" s="134">
        <v>550</v>
      </c>
      <c r="F38" s="134">
        <v>550</v>
      </c>
      <c r="G38" s="133">
        <f t="shared" si="2"/>
        <v>153585.27999999997</v>
      </c>
      <c r="H38" s="134">
        <v>94024.01</v>
      </c>
      <c r="I38" s="134">
        <f>15345.63+6728.69</f>
        <v>22074.32</v>
      </c>
      <c r="J38" s="134">
        <f>4665.07+2045.52</f>
        <v>6710.59</v>
      </c>
      <c r="K38" s="134">
        <v>30776.36</v>
      </c>
      <c r="L38" s="136">
        <f t="shared" si="1"/>
        <v>-153035.27999999997</v>
      </c>
      <c r="M38" s="106">
        <v>0.21</v>
      </c>
      <c r="N38" s="80" t="s">
        <v>228</v>
      </c>
      <c r="O38" s="80"/>
    </row>
    <row r="39" spans="1:15" ht="15" customHeight="1">
      <c r="A39" s="104" t="s">
        <v>334</v>
      </c>
      <c r="B39" s="80">
        <v>5083001</v>
      </c>
      <c r="C39" s="104" t="s">
        <v>331</v>
      </c>
      <c r="D39" s="80"/>
      <c r="E39" s="134">
        <v>550</v>
      </c>
      <c r="F39" s="134">
        <v>550</v>
      </c>
      <c r="G39" s="179">
        <f t="shared" si="2"/>
        <v>404269.27</v>
      </c>
      <c r="H39" s="134">
        <v>217209.88</v>
      </c>
      <c r="I39" s="134">
        <f>71780.9+27992.75</f>
        <v>99773.65</v>
      </c>
      <c r="J39" s="134">
        <f>21821.39+8509.8</f>
        <v>30331.19</v>
      </c>
      <c r="K39" s="134">
        <v>56954.55</v>
      </c>
      <c r="L39" s="136">
        <f t="shared" si="1"/>
        <v>-403719.27</v>
      </c>
      <c r="M39" s="127">
        <v>0.45</v>
      </c>
      <c r="N39" s="128" t="s">
        <v>583</v>
      </c>
      <c r="O39" s="80"/>
    </row>
    <row r="40" spans="1:15" ht="28.5" customHeight="1">
      <c r="A40" s="104" t="s">
        <v>335</v>
      </c>
      <c r="B40" s="80">
        <v>1287001</v>
      </c>
      <c r="C40" s="104" t="s">
        <v>336</v>
      </c>
      <c r="D40" s="80"/>
      <c r="E40" s="134">
        <v>16411.55</v>
      </c>
      <c r="F40" s="134">
        <v>7385.19</v>
      </c>
      <c r="G40" s="179">
        <f t="shared" si="2"/>
        <v>179266.43000000002</v>
      </c>
      <c r="H40" s="134">
        <f>43111.7+1119.76</f>
        <v>44231.46</v>
      </c>
      <c r="I40" s="134">
        <f>51927.22+20244.84+1759.03+634.55</f>
        <v>74565.64</v>
      </c>
      <c r="J40" s="134">
        <f>15785.87+6154.43+534.75+192.9</f>
        <v>22667.950000000004</v>
      </c>
      <c r="K40" s="134">
        <f>35464.18+2337.2</f>
        <v>37801.38</v>
      </c>
      <c r="L40" s="136">
        <f t="shared" si="1"/>
        <v>-162854.88000000003</v>
      </c>
      <c r="M40" s="127">
        <v>0.145</v>
      </c>
      <c r="N40" s="128" t="s">
        <v>584</v>
      </c>
      <c r="O40" s="80"/>
    </row>
    <row r="41" spans="1:15" ht="30" customHeight="1">
      <c r="A41" s="104" t="s">
        <v>337</v>
      </c>
      <c r="B41" s="80">
        <v>450002</v>
      </c>
      <c r="C41" s="104" t="s">
        <v>338</v>
      </c>
      <c r="D41" s="80"/>
      <c r="E41" s="134">
        <v>550</v>
      </c>
      <c r="F41" s="134">
        <v>550</v>
      </c>
      <c r="G41" s="133">
        <f t="shared" si="2"/>
        <v>111734.01000000001</v>
      </c>
      <c r="H41" s="134">
        <v>52249.45</v>
      </c>
      <c r="I41" s="134">
        <f>13635+6411.41</f>
        <v>20046.41</v>
      </c>
      <c r="J41" s="134">
        <f>4145.04+1949.07</f>
        <v>6094.11</v>
      </c>
      <c r="K41" s="134">
        <v>33344.04</v>
      </c>
      <c r="L41" s="136">
        <f t="shared" si="1"/>
        <v>-111184.01000000001</v>
      </c>
      <c r="M41" s="106">
        <v>0.262</v>
      </c>
      <c r="N41" s="80" t="s">
        <v>292</v>
      </c>
      <c r="O41" s="80"/>
    </row>
    <row r="42" spans="1:15" ht="30" customHeight="1">
      <c r="A42" s="104" t="s">
        <v>339</v>
      </c>
      <c r="B42" s="80">
        <v>5277001</v>
      </c>
      <c r="C42" s="104" t="s">
        <v>340</v>
      </c>
      <c r="D42" s="80"/>
      <c r="E42" s="112">
        <v>550</v>
      </c>
      <c r="F42" s="112">
        <v>550</v>
      </c>
      <c r="G42" s="133">
        <f t="shared" si="2"/>
        <v>32724.8</v>
      </c>
      <c r="H42" s="112">
        <v>15198.01</v>
      </c>
      <c r="I42" s="112">
        <f>3811.39+1717.03</f>
        <v>5528.42</v>
      </c>
      <c r="J42" s="112">
        <f>1158.66+521.98</f>
        <v>1680.64</v>
      </c>
      <c r="K42" s="112">
        <v>10317.73</v>
      </c>
      <c r="L42" s="105">
        <f t="shared" si="1"/>
        <v>-32174.8</v>
      </c>
      <c r="M42" s="113">
        <v>0.08</v>
      </c>
      <c r="N42" s="114" t="s">
        <v>289</v>
      </c>
      <c r="O42" s="80"/>
    </row>
    <row r="43" spans="1:15" ht="15">
      <c r="A43" s="104" t="s">
        <v>341</v>
      </c>
      <c r="B43" s="80">
        <v>5083001</v>
      </c>
      <c r="C43" s="104" t="s">
        <v>331</v>
      </c>
      <c r="D43" s="80"/>
      <c r="E43" s="112">
        <v>550</v>
      </c>
      <c r="F43" s="112">
        <v>550</v>
      </c>
      <c r="G43" s="133">
        <f t="shared" si="2"/>
        <v>132528.31</v>
      </c>
      <c r="H43" s="112">
        <v>69601.61</v>
      </c>
      <c r="I43" s="112">
        <f>16436.02+6298.33</f>
        <v>22734.35</v>
      </c>
      <c r="J43" s="112">
        <f>4996.55+1914.69</f>
        <v>6911.24</v>
      </c>
      <c r="K43" s="112">
        <v>33281.11</v>
      </c>
      <c r="L43" s="105">
        <f t="shared" si="1"/>
        <v>-131978.31</v>
      </c>
      <c r="M43" s="127">
        <v>0.03</v>
      </c>
      <c r="N43" s="128" t="s">
        <v>585</v>
      </c>
      <c r="O43" s="80"/>
    </row>
    <row r="44" spans="1:15" ht="15">
      <c r="A44" s="104" t="s">
        <v>342</v>
      </c>
      <c r="B44" s="80">
        <v>5248003</v>
      </c>
      <c r="C44" s="104" t="s">
        <v>343</v>
      </c>
      <c r="D44" s="80"/>
      <c r="E44" s="134">
        <v>16689.71</v>
      </c>
      <c r="F44" s="134">
        <v>13908.09</v>
      </c>
      <c r="G44" s="135">
        <f t="shared" si="2"/>
        <v>104944.27999999998</v>
      </c>
      <c r="H44" s="134">
        <v>33844.95</v>
      </c>
      <c r="I44" s="134">
        <f>45339.73+3807.31</f>
        <v>49147.04</v>
      </c>
      <c r="J44" s="134">
        <f>13783.28+1157.42</f>
        <v>14940.7</v>
      </c>
      <c r="K44" s="134">
        <v>7011.59</v>
      </c>
      <c r="L44" s="136">
        <f t="shared" si="1"/>
        <v>-88254.56999999998</v>
      </c>
      <c r="M44" s="146" t="s">
        <v>593</v>
      </c>
      <c r="N44" s="143"/>
      <c r="O44" s="80"/>
    </row>
    <row r="45" spans="1:15" ht="15" customHeight="1">
      <c r="A45" s="104" t="s">
        <v>344</v>
      </c>
      <c r="B45" s="80">
        <v>5248003</v>
      </c>
      <c r="C45" s="104" t="s">
        <v>343</v>
      </c>
      <c r="D45" s="80"/>
      <c r="E45" s="134">
        <v>16689.71</v>
      </c>
      <c r="F45" s="134">
        <v>13908.09</v>
      </c>
      <c r="G45" s="135">
        <f t="shared" si="2"/>
        <v>214792.32</v>
      </c>
      <c r="H45" s="134">
        <v>191666.66</v>
      </c>
      <c r="I45" s="134">
        <f>10561.8+3312.19</f>
        <v>13873.99</v>
      </c>
      <c r="J45" s="134">
        <f>3210.79+1006.91</f>
        <v>4217.7</v>
      </c>
      <c r="K45" s="134">
        <v>5033.97</v>
      </c>
      <c r="L45" s="136">
        <f t="shared" si="1"/>
        <v>-198102.61000000002</v>
      </c>
      <c r="M45" s="146"/>
      <c r="N45" s="143"/>
      <c r="O45" s="80"/>
    </row>
    <row r="46" spans="1:15" ht="30">
      <c r="A46" s="104" t="s">
        <v>345</v>
      </c>
      <c r="B46" s="80">
        <v>178004</v>
      </c>
      <c r="C46" s="104" t="s">
        <v>346</v>
      </c>
      <c r="D46" s="80"/>
      <c r="E46" s="134">
        <v>16689.71</v>
      </c>
      <c r="F46" s="134">
        <v>16689.71</v>
      </c>
      <c r="G46" s="135">
        <f t="shared" si="2"/>
        <v>215801.94999999998</v>
      </c>
      <c r="H46" s="134">
        <v>200000</v>
      </c>
      <c r="I46" s="134">
        <f>6214.56+2043.09</f>
        <v>8257.65</v>
      </c>
      <c r="J46" s="134">
        <f>1889.23+621.1</f>
        <v>2510.33</v>
      </c>
      <c r="K46" s="134">
        <v>5033.97</v>
      </c>
      <c r="L46" s="136">
        <f t="shared" si="1"/>
        <v>-199112.24</v>
      </c>
      <c r="M46" s="146"/>
      <c r="N46" s="143"/>
      <c r="O46" s="80"/>
    </row>
    <row r="47" spans="1:15" ht="15">
      <c r="A47" s="104" t="s">
        <v>347</v>
      </c>
      <c r="B47" s="80">
        <v>4896004</v>
      </c>
      <c r="C47" s="104" t="s">
        <v>348</v>
      </c>
      <c r="D47" s="80"/>
      <c r="E47" s="134">
        <v>17294.91</v>
      </c>
      <c r="F47" s="134">
        <v>17294.91</v>
      </c>
      <c r="G47" s="135">
        <f t="shared" si="2"/>
        <v>76622.47</v>
      </c>
      <c r="H47" s="134">
        <v>56394.78</v>
      </c>
      <c r="I47" s="134">
        <f>4666.71+1962.81</f>
        <v>6629.52</v>
      </c>
      <c r="J47" s="134">
        <f>1418.68+596.69</f>
        <v>2015.3700000000001</v>
      </c>
      <c r="K47" s="134">
        <v>11582.8</v>
      </c>
      <c r="L47" s="136">
        <f t="shared" si="1"/>
        <v>-59327.56</v>
      </c>
      <c r="M47" s="127">
        <v>0.2</v>
      </c>
      <c r="N47" s="128" t="s">
        <v>586</v>
      </c>
      <c r="O47" s="80"/>
    </row>
    <row r="48" spans="1:15" ht="15">
      <c r="A48" s="104" t="s">
        <v>349</v>
      </c>
      <c r="B48" s="80">
        <v>3286005</v>
      </c>
      <c r="C48" s="104" t="s">
        <v>350</v>
      </c>
      <c r="D48" s="80"/>
      <c r="E48" s="134">
        <v>1249192.37</v>
      </c>
      <c r="F48" s="134">
        <v>207895.42</v>
      </c>
      <c r="G48" s="179">
        <f t="shared" si="2"/>
        <v>524703.49</v>
      </c>
      <c r="H48" s="134">
        <v>253510.14</v>
      </c>
      <c r="I48" s="134">
        <f>108007.61+39705.84</f>
        <v>147713.45</v>
      </c>
      <c r="J48" s="134">
        <f>32834.31+12070.57</f>
        <v>44904.88</v>
      </c>
      <c r="K48" s="134">
        <v>78575.02</v>
      </c>
      <c r="L48" s="136">
        <f t="shared" si="1"/>
        <v>724488.8800000001</v>
      </c>
      <c r="M48" s="127">
        <v>0.412</v>
      </c>
      <c r="N48" s="128" t="s">
        <v>598</v>
      </c>
      <c r="O48" s="80"/>
    </row>
    <row r="49" spans="1:15" ht="30">
      <c r="A49" s="104" t="s">
        <v>351</v>
      </c>
      <c r="B49" s="80">
        <v>4896004</v>
      </c>
      <c r="C49" s="104" t="s">
        <v>348</v>
      </c>
      <c r="D49" s="80"/>
      <c r="E49" s="134">
        <v>17294.91</v>
      </c>
      <c r="F49" s="134">
        <v>17294.91</v>
      </c>
      <c r="G49" s="179">
        <f t="shared" si="2"/>
        <v>57107.56</v>
      </c>
      <c r="H49" s="134">
        <v>13673.76</v>
      </c>
      <c r="I49" s="134">
        <f>19248.68+6345.52</f>
        <v>25594.2</v>
      </c>
      <c r="J49" s="134">
        <f>5851.6+1929.04</f>
        <v>7780.64</v>
      </c>
      <c r="K49" s="134">
        <v>10058.96</v>
      </c>
      <c r="L49" s="136">
        <f t="shared" si="1"/>
        <v>-39812.649999999994</v>
      </c>
      <c r="M49" s="127">
        <v>0.035</v>
      </c>
      <c r="N49" s="128" t="s">
        <v>587</v>
      </c>
      <c r="O49" s="80"/>
    </row>
    <row r="50" spans="1:15" ht="15">
      <c r="A50" s="104" t="s">
        <v>352</v>
      </c>
      <c r="B50" s="80">
        <v>5083001</v>
      </c>
      <c r="C50" s="104" t="s">
        <v>331</v>
      </c>
      <c r="D50" s="80"/>
      <c r="E50" s="134">
        <v>550</v>
      </c>
      <c r="F50" s="134">
        <v>550</v>
      </c>
      <c r="G50" s="133">
        <f t="shared" si="2"/>
        <v>447687.66000000003</v>
      </c>
      <c r="H50" s="134">
        <v>396690.4</v>
      </c>
      <c r="I50" s="134">
        <f>19489.73+7751.37</f>
        <v>27241.1</v>
      </c>
      <c r="J50" s="134">
        <f>5893.69+2344.01</f>
        <v>8237.7</v>
      </c>
      <c r="K50" s="134">
        <v>15518.46</v>
      </c>
      <c r="L50" s="136">
        <f t="shared" si="1"/>
        <v>-447137.66000000003</v>
      </c>
      <c r="M50" s="146" t="s">
        <v>588</v>
      </c>
      <c r="N50" s="143"/>
      <c r="O50" s="80"/>
    </row>
    <row r="51" spans="1:15" ht="15">
      <c r="A51" s="104" t="s">
        <v>353</v>
      </c>
      <c r="B51" s="80">
        <v>5083001</v>
      </c>
      <c r="C51" s="104" t="s">
        <v>331</v>
      </c>
      <c r="D51" s="80"/>
      <c r="E51" s="134">
        <v>550</v>
      </c>
      <c r="F51" s="134">
        <v>550</v>
      </c>
      <c r="G51" s="133">
        <f t="shared" si="2"/>
        <v>252842.5</v>
      </c>
      <c r="H51" s="134">
        <v>226500</v>
      </c>
      <c r="I51" s="134">
        <f>10561.8+3699.19</f>
        <v>14260.99</v>
      </c>
      <c r="J51" s="134">
        <f>3210.79+1124.55</f>
        <v>4335.34</v>
      </c>
      <c r="K51" s="134">
        <v>7746.17</v>
      </c>
      <c r="L51" s="136">
        <f t="shared" si="1"/>
        <v>-252292.5</v>
      </c>
      <c r="M51" s="146"/>
      <c r="N51" s="143"/>
      <c r="O51" s="80"/>
    </row>
    <row r="52" spans="1:15" ht="15">
      <c r="A52" s="104" t="s">
        <v>354</v>
      </c>
      <c r="B52" s="80">
        <v>5282001</v>
      </c>
      <c r="C52" s="104" t="s">
        <v>355</v>
      </c>
      <c r="D52" s="80"/>
      <c r="E52" s="134">
        <v>550</v>
      </c>
      <c r="F52" s="134">
        <v>550</v>
      </c>
      <c r="G52" s="133">
        <f t="shared" si="2"/>
        <v>110782.94</v>
      </c>
      <c r="H52" s="134">
        <v>52844.54</v>
      </c>
      <c r="I52" s="134">
        <f>10937.39+8149.26</f>
        <v>19086.65</v>
      </c>
      <c r="J52" s="134">
        <f>3324.97+2477.38</f>
        <v>5802.35</v>
      </c>
      <c r="K52" s="134">
        <v>33049.4</v>
      </c>
      <c r="L52" s="136">
        <f t="shared" si="1"/>
        <v>-110232.94</v>
      </c>
      <c r="M52" s="127">
        <v>0.16</v>
      </c>
      <c r="N52" s="128" t="s">
        <v>589</v>
      </c>
      <c r="O52" s="80"/>
    </row>
    <row r="53" spans="1:15" ht="15">
      <c r="A53" s="104" t="s">
        <v>356</v>
      </c>
      <c r="B53" s="80">
        <v>1242002</v>
      </c>
      <c r="C53" s="104" t="s">
        <v>357</v>
      </c>
      <c r="D53" s="80"/>
      <c r="E53" s="134">
        <v>17294.91</v>
      </c>
      <c r="F53" s="134">
        <v>17294.91</v>
      </c>
      <c r="G53" s="135">
        <f t="shared" si="2"/>
        <v>100958.85</v>
      </c>
      <c r="H53" s="134">
        <v>61027.8</v>
      </c>
      <c r="I53" s="134">
        <f>8443.12+4729.88</f>
        <v>13173</v>
      </c>
      <c r="J53" s="134">
        <f>2566.71+1437.88</f>
        <v>4004.59</v>
      </c>
      <c r="K53" s="134">
        <v>22753.46</v>
      </c>
      <c r="L53" s="136">
        <f t="shared" si="1"/>
        <v>-83663.94</v>
      </c>
      <c r="M53" s="127">
        <v>0.24</v>
      </c>
      <c r="N53" s="128" t="s">
        <v>590</v>
      </c>
      <c r="O53" s="80"/>
    </row>
    <row r="54" spans="1:15" ht="15">
      <c r="A54" s="104" t="s">
        <v>286</v>
      </c>
      <c r="B54" s="80">
        <v>5290001</v>
      </c>
      <c r="C54" s="104" t="s">
        <v>358</v>
      </c>
      <c r="D54" s="80"/>
      <c r="E54" s="134">
        <v>550</v>
      </c>
      <c r="F54" s="134">
        <v>550</v>
      </c>
      <c r="G54" s="133">
        <f t="shared" si="2"/>
        <v>30787.179999999997</v>
      </c>
      <c r="H54" s="134">
        <v>12722.51</v>
      </c>
      <c r="I54" s="134">
        <f>3327.9+2523.58</f>
        <v>5851.48</v>
      </c>
      <c r="J54" s="134">
        <f>1011.68+767.17</f>
        <v>1778.85</v>
      </c>
      <c r="K54" s="134">
        <v>10434.34</v>
      </c>
      <c r="L54" s="136">
        <f t="shared" si="1"/>
        <v>-30237.179999999997</v>
      </c>
      <c r="M54" s="127">
        <v>0.06</v>
      </c>
      <c r="N54" s="128" t="s">
        <v>591</v>
      </c>
      <c r="O54" s="80"/>
    </row>
    <row r="55" spans="1:15" ht="15">
      <c r="A55" s="104" t="s">
        <v>359</v>
      </c>
      <c r="B55" s="80">
        <v>5281001</v>
      </c>
      <c r="C55" s="104" t="s">
        <v>360</v>
      </c>
      <c r="D55" s="80"/>
      <c r="E55" s="134">
        <v>550</v>
      </c>
      <c r="F55" s="134">
        <v>550</v>
      </c>
      <c r="G55" s="133">
        <f t="shared" si="2"/>
        <v>208584.21</v>
      </c>
      <c r="H55" s="134">
        <v>121056.17</v>
      </c>
      <c r="I55" s="134">
        <f>23382.01+9954.88</f>
        <v>33336.89</v>
      </c>
      <c r="J55" s="134">
        <f>7108.13+3026.28</f>
        <v>10134.41</v>
      </c>
      <c r="K55" s="134">
        <v>44056.74</v>
      </c>
      <c r="L55" s="136">
        <f t="shared" si="1"/>
        <v>-208034.21</v>
      </c>
      <c r="M55" s="127">
        <f>0.28+0.09</f>
        <v>0.37</v>
      </c>
      <c r="N55" s="128" t="s">
        <v>592</v>
      </c>
      <c r="O55" s="80"/>
    </row>
    <row r="56" spans="1:15" ht="15">
      <c r="A56" s="104" t="s">
        <v>361</v>
      </c>
      <c r="B56" s="80">
        <v>3749001</v>
      </c>
      <c r="C56" s="104" t="s">
        <v>362</v>
      </c>
      <c r="D56" s="80"/>
      <c r="E56" s="134">
        <v>941640</v>
      </c>
      <c r="F56" s="134">
        <v>423738</v>
      </c>
      <c r="G56" s="134">
        <f t="shared" si="2"/>
        <v>203945.31</v>
      </c>
      <c r="H56" s="134">
        <f>13075+69583.34+3219.76</f>
        <v>85878.09999999999</v>
      </c>
      <c r="I56" s="134">
        <f>4967.15+4194.3+18666.23+14040.05+1449.08+613.05</f>
        <v>43929.86</v>
      </c>
      <c r="J56" s="134">
        <f>1510.01+1275.07+5674.53+4268.17+440.52+186.37</f>
        <v>13354.670000000002</v>
      </c>
      <c r="K56" s="134">
        <f>11823.98+46094.32+2864.38</f>
        <v>60782.68</v>
      </c>
      <c r="L56" s="136">
        <f t="shared" si="1"/>
        <v>737694.69</v>
      </c>
      <c r="M56" s="106">
        <v>0.184</v>
      </c>
      <c r="N56" s="80" t="s">
        <v>229</v>
      </c>
      <c r="O56" s="80"/>
    </row>
    <row r="57" spans="1:15" ht="15">
      <c r="A57" s="104" t="s">
        <v>363</v>
      </c>
      <c r="B57" s="80">
        <v>5248003</v>
      </c>
      <c r="C57" s="104" t="s">
        <v>343</v>
      </c>
      <c r="D57" s="80"/>
      <c r="E57" s="134">
        <v>16689.71</v>
      </c>
      <c r="F57" s="134">
        <v>13908.09</v>
      </c>
      <c r="G57" s="135">
        <f t="shared" si="2"/>
        <v>144333.41000000003</v>
      </c>
      <c r="H57" s="134">
        <v>82753.71</v>
      </c>
      <c r="I57" s="134">
        <f>18344.83+8528.04</f>
        <v>26872.870000000003</v>
      </c>
      <c r="J57" s="134">
        <f>5576.83+2592.52</f>
        <v>8169.35</v>
      </c>
      <c r="K57" s="134">
        <v>26537.48</v>
      </c>
      <c r="L57" s="136">
        <f t="shared" si="1"/>
        <v>-127643.70000000004</v>
      </c>
      <c r="M57" s="106">
        <v>0.2</v>
      </c>
      <c r="N57" s="80" t="s">
        <v>229</v>
      </c>
      <c r="O57" s="80"/>
    </row>
    <row r="58" spans="1:15" ht="30">
      <c r="A58" s="104" t="s">
        <v>364</v>
      </c>
      <c r="B58" s="80">
        <v>5223001</v>
      </c>
      <c r="C58" s="104" t="s">
        <v>365</v>
      </c>
      <c r="D58" s="80"/>
      <c r="E58" s="134">
        <v>16689.71</v>
      </c>
      <c r="F58" s="134">
        <v>16411.55</v>
      </c>
      <c r="G58" s="135">
        <f t="shared" si="2"/>
        <v>310253.1</v>
      </c>
      <c r="H58" s="134">
        <v>208707.15</v>
      </c>
      <c r="I58" s="134">
        <f>27469.99+18342.48</f>
        <v>45812.47</v>
      </c>
      <c r="J58" s="134">
        <f>8350.88+5576.11</f>
        <v>13926.989999999998</v>
      </c>
      <c r="K58" s="134">
        <v>41806.49</v>
      </c>
      <c r="L58" s="136">
        <f t="shared" si="1"/>
        <v>-293563.38999999996</v>
      </c>
      <c r="M58" s="106">
        <v>0.32</v>
      </c>
      <c r="N58" s="80" t="s">
        <v>366</v>
      </c>
      <c r="O58" s="80"/>
    </row>
    <row r="59" spans="1:15" ht="15">
      <c r="A59" s="104" t="s">
        <v>367</v>
      </c>
      <c r="B59" s="80">
        <v>5260001</v>
      </c>
      <c r="C59" s="104" t="s">
        <v>368</v>
      </c>
      <c r="D59" s="80"/>
      <c r="E59" s="80">
        <v>3949851.54</v>
      </c>
      <c r="F59" s="112">
        <v>2843893.1</v>
      </c>
      <c r="G59" s="134">
        <f t="shared" si="2"/>
        <v>1575133.4100000001</v>
      </c>
      <c r="H59" s="112">
        <f>7899.37+1112082.74+36118.67+5870.6</f>
        <v>1161971.3800000001</v>
      </c>
      <c r="I59" s="112">
        <f>30258.87+27920.27+92023.01+28327.7+13235.79+6818.06+5796.32+2452.21</f>
        <v>206832.23</v>
      </c>
      <c r="J59" s="112">
        <f>9198.7+8487.76+27975+8611.62+4023.68+2072.69+1762.08+745.47</f>
        <v>62877.00000000001</v>
      </c>
      <c r="K59" s="112">
        <f>48034.37+67656.17+22033.49+5728.77</f>
        <v>143452.8</v>
      </c>
      <c r="L59" s="136">
        <f t="shared" si="1"/>
        <v>2374718.13</v>
      </c>
      <c r="M59" s="106">
        <v>1.406</v>
      </c>
      <c r="N59" s="80" t="s">
        <v>369</v>
      </c>
      <c r="O59" s="80"/>
    </row>
    <row r="60" spans="1:15" ht="15">
      <c r="A60" s="104" t="s">
        <v>370</v>
      </c>
      <c r="B60" s="80">
        <v>5223001</v>
      </c>
      <c r="C60" s="104" t="s">
        <v>371</v>
      </c>
      <c r="D60" s="80"/>
      <c r="E60" s="80">
        <v>16689.71</v>
      </c>
      <c r="F60" s="80">
        <v>16411.55</v>
      </c>
      <c r="G60" s="135">
        <f t="shared" si="2"/>
        <v>321815.39</v>
      </c>
      <c r="H60" s="112">
        <v>256085.39</v>
      </c>
      <c r="I60" s="112">
        <f>19489.73+9857.08</f>
        <v>29346.809999999998</v>
      </c>
      <c r="J60" s="112">
        <f>5893.69+2980.78</f>
        <v>8874.47</v>
      </c>
      <c r="K60" s="112">
        <v>27508.72</v>
      </c>
      <c r="L60" s="136">
        <f t="shared" si="1"/>
        <v>-305125.68</v>
      </c>
      <c r="M60" s="146" t="s">
        <v>588</v>
      </c>
      <c r="N60" s="143"/>
      <c r="O60" s="80"/>
    </row>
    <row r="61" spans="1:15" ht="30">
      <c r="A61" s="104" t="s">
        <v>372</v>
      </c>
      <c r="B61" s="80">
        <v>5223001</v>
      </c>
      <c r="C61" s="104" t="s">
        <v>371</v>
      </c>
      <c r="D61" s="80"/>
      <c r="E61" s="80">
        <v>16689.71</v>
      </c>
      <c r="F61" s="80">
        <v>16411.55</v>
      </c>
      <c r="G61" s="135">
        <f t="shared" si="2"/>
        <v>223005.43999999997</v>
      </c>
      <c r="H61" s="112">
        <v>200443.78</v>
      </c>
      <c r="I61" s="112">
        <f>7663.64+3699.19</f>
        <v>11362.83</v>
      </c>
      <c r="J61" s="112">
        <f>2329.75+1124.55</f>
        <v>3454.3</v>
      </c>
      <c r="K61" s="112">
        <v>7744.53</v>
      </c>
      <c r="L61" s="136">
        <f t="shared" si="1"/>
        <v>-206315.72999999998</v>
      </c>
      <c r="M61" s="146"/>
      <c r="N61" s="143"/>
      <c r="O61" s="80"/>
    </row>
    <row r="62" spans="1:15" ht="15">
      <c r="A62" s="104" t="s">
        <v>373</v>
      </c>
      <c r="B62" s="80">
        <v>5083001</v>
      </c>
      <c r="C62" s="104" t="s">
        <v>331</v>
      </c>
      <c r="D62" s="80"/>
      <c r="E62" s="112">
        <v>550</v>
      </c>
      <c r="F62" s="112">
        <v>550</v>
      </c>
      <c r="G62" s="133">
        <f t="shared" si="2"/>
        <v>130543.97999999998</v>
      </c>
      <c r="H62" s="112">
        <f>47549.17+42232.5</f>
        <v>89781.67</v>
      </c>
      <c r="I62" s="112">
        <f>6222.28+2551.95+6222.28+1390.97</f>
        <v>16387.48</v>
      </c>
      <c r="J62" s="112">
        <f>1891.57+775.79+1891.57+422.86</f>
        <v>4981.789999999999</v>
      </c>
      <c r="K62" s="112">
        <f>12249.34+7143.7</f>
        <v>19393.04</v>
      </c>
      <c r="L62" s="136">
        <f t="shared" si="1"/>
        <v>-129993.97999999998</v>
      </c>
      <c r="M62" s="106">
        <v>0.13</v>
      </c>
      <c r="N62" s="80" t="s">
        <v>300</v>
      </c>
      <c r="O62" s="80"/>
    </row>
    <row r="63" spans="1:15" ht="30">
      <c r="A63" s="104" t="s">
        <v>374</v>
      </c>
      <c r="B63" s="80">
        <v>3286005</v>
      </c>
      <c r="C63" s="104" t="s">
        <v>232</v>
      </c>
      <c r="D63" s="80"/>
      <c r="E63" s="112">
        <v>1249192.37</v>
      </c>
      <c r="F63" s="112">
        <v>749515.42</v>
      </c>
      <c r="G63" s="134">
        <f t="shared" si="2"/>
        <v>134832.36000000002</v>
      </c>
      <c r="H63" s="112">
        <v>108937.11</v>
      </c>
      <c r="I63" s="112">
        <f>11288.78+4040.85</f>
        <v>15329.630000000001</v>
      </c>
      <c r="J63" s="112">
        <f>3431.79+1228.42</f>
        <v>4660.21</v>
      </c>
      <c r="K63" s="112">
        <v>5905.41</v>
      </c>
      <c r="L63" s="136">
        <f t="shared" si="1"/>
        <v>1114360.01</v>
      </c>
      <c r="M63" s="106"/>
      <c r="N63" s="80"/>
      <c r="O63" s="80"/>
    </row>
    <row r="64" spans="1:15" ht="30">
      <c r="A64" s="104" t="s">
        <v>375</v>
      </c>
      <c r="B64" s="80">
        <v>4896004</v>
      </c>
      <c r="C64" s="104" t="s">
        <v>348</v>
      </c>
      <c r="D64" s="80"/>
      <c r="E64" s="112">
        <v>17294.91</v>
      </c>
      <c r="F64" s="112">
        <v>17294.91</v>
      </c>
      <c r="G64" s="135">
        <f t="shared" si="2"/>
        <v>223181.27999999997</v>
      </c>
      <c r="H64" s="112">
        <v>200625</v>
      </c>
      <c r="I64" s="112">
        <f>7663.64+3699.19</f>
        <v>11362.83</v>
      </c>
      <c r="J64" s="112">
        <f>2329.75+1124.55</f>
        <v>3454.3</v>
      </c>
      <c r="K64" s="112">
        <v>7739.15</v>
      </c>
      <c r="L64" s="136">
        <f t="shared" si="1"/>
        <v>-205886.36999999997</v>
      </c>
      <c r="M64" s="176"/>
      <c r="N64" s="107"/>
      <c r="O64" s="80"/>
    </row>
    <row r="65" spans="1:15" ht="30">
      <c r="A65" s="104" t="s">
        <v>376</v>
      </c>
      <c r="B65" s="80">
        <v>5260001</v>
      </c>
      <c r="C65" s="104" t="s">
        <v>368</v>
      </c>
      <c r="D65" s="80"/>
      <c r="E65" s="80">
        <v>3949851.54</v>
      </c>
      <c r="F65" s="112">
        <v>2843893.1</v>
      </c>
      <c r="G65" s="179">
        <f t="shared" si="2"/>
        <v>242550.95</v>
      </c>
      <c r="H65" s="112">
        <v>161730.87</v>
      </c>
      <c r="I65" s="112">
        <f>26068.17+8366.03</f>
        <v>34434.2</v>
      </c>
      <c r="J65" s="112">
        <f>7924.72+2543.27</f>
        <v>10467.99</v>
      </c>
      <c r="K65" s="112">
        <v>35917.89</v>
      </c>
      <c r="L65" s="136">
        <f t="shared" si="1"/>
        <v>3707300.59</v>
      </c>
      <c r="M65" s="106">
        <v>0.305</v>
      </c>
      <c r="N65" s="80" t="s">
        <v>236</v>
      </c>
      <c r="O65" s="80"/>
    </row>
    <row r="66" spans="1:15" ht="15">
      <c r="A66" s="104" t="s">
        <v>377</v>
      </c>
      <c r="B66" s="80">
        <v>5334002</v>
      </c>
      <c r="C66" s="104" t="s">
        <v>378</v>
      </c>
      <c r="D66" s="80"/>
      <c r="E66" s="112">
        <v>17294.9</v>
      </c>
      <c r="F66" s="112">
        <v>17294.9</v>
      </c>
      <c r="G66" s="179">
        <f t="shared" si="2"/>
        <v>43231.86</v>
      </c>
      <c r="H66" s="112">
        <v>15086.06</v>
      </c>
      <c r="I66" s="112">
        <f>5310.75+3745.11</f>
        <v>9055.86</v>
      </c>
      <c r="J66" s="112">
        <f>1614.47+1138.51</f>
        <v>2752.98</v>
      </c>
      <c r="K66" s="112">
        <v>16336.96</v>
      </c>
      <c r="L66" s="136">
        <f t="shared" si="1"/>
        <v>-25936.96</v>
      </c>
      <c r="M66" s="106">
        <v>0.018</v>
      </c>
      <c r="N66" s="80" t="s">
        <v>369</v>
      </c>
      <c r="O66" s="80"/>
    </row>
    <row r="67" spans="1:15" ht="15">
      <c r="A67" s="104" t="s">
        <v>379</v>
      </c>
      <c r="B67" s="80">
        <v>846110</v>
      </c>
      <c r="C67" s="104" t="s">
        <v>380</v>
      </c>
      <c r="D67" s="80"/>
      <c r="E67" s="112">
        <v>17294.9</v>
      </c>
      <c r="F67" s="112">
        <v>17294.9</v>
      </c>
      <c r="G67" s="135">
        <f t="shared" si="2"/>
        <v>30431.08</v>
      </c>
      <c r="H67" s="112">
        <v>7448.78</v>
      </c>
      <c r="I67" s="112">
        <f>8286.39+2781.94</f>
        <v>11068.33</v>
      </c>
      <c r="J67" s="112">
        <f>2519.06+845.71</f>
        <v>3364.77</v>
      </c>
      <c r="K67" s="112">
        <v>8549.2</v>
      </c>
      <c r="L67" s="136">
        <f t="shared" si="1"/>
        <v>-13136.18</v>
      </c>
      <c r="M67" s="127">
        <v>0.23</v>
      </c>
      <c r="N67" s="128" t="s">
        <v>594</v>
      </c>
      <c r="O67" s="80"/>
    </row>
    <row r="68" spans="1:15" ht="15">
      <c r="A68" s="104" t="s">
        <v>381</v>
      </c>
      <c r="B68" s="80">
        <v>5347001</v>
      </c>
      <c r="C68" s="104" t="s">
        <v>382</v>
      </c>
      <c r="D68" s="80"/>
      <c r="E68" s="112">
        <v>17294.9</v>
      </c>
      <c r="F68" s="112">
        <v>8000</v>
      </c>
      <c r="G68" s="179">
        <f t="shared" si="2"/>
        <v>861081.56</v>
      </c>
      <c r="H68" s="112">
        <f>348815.89+189637.76</f>
        <v>538453.65</v>
      </c>
      <c r="I68" s="112">
        <f>56917.02+19185.87+66806.45+20090.11</f>
        <v>162999.45</v>
      </c>
      <c r="J68" s="112">
        <f>17302.78+5832.51+20309.16+6107.39</f>
        <v>49551.84</v>
      </c>
      <c r="K68" s="112">
        <f>62100.55+47976.07</f>
        <v>110076.62</v>
      </c>
      <c r="L68" s="136">
        <f t="shared" si="1"/>
        <v>-843786.66</v>
      </c>
      <c r="M68" s="106">
        <v>0.735</v>
      </c>
      <c r="N68" s="80" t="s">
        <v>226</v>
      </c>
      <c r="O68" s="80"/>
    </row>
    <row r="69" spans="1:15" ht="15">
      <c r="A69" s="104" t="s">
        <v>383</v>
      </c>
      <c r="B69" s="80">
        <v>5441001</v>
      </c>
      <c r="C69" s="104" t="s">
        <v>384</v>
      </c>
      <c r="D69" s="80"/>
      <c r="E69" s="112">
        <v>550</v>
      </c>
      <c r="F69" s="112">
        <v>550</v>
      </c>
      <c r="G69" s="133">
        <f t="shared" si="2"/>
        <v>87540.09</v>
      </c>
      <c r="H69" s="112">
        <v>42962.02</v>
      </c>
      <c r="I69" s="112">
        <f>10783.95+4138.33</f>
        <v>14922.28</v>
      </c>
      <c r="J69" s="112">
        <f>3278.32+1258.05</f>
        <v>4536.37</v>
      </c>
      <c r="K69" s="112">
        <v>25119.42</v>
      </c>
      <c r="L69" s="136">
        <f t="shared" si="1"/>
        <v>-86990.09</v>
      </c>
      <c r="M69" s="106">
        <v>0.15</v>
      </c>
      <c r="N69" s="80" t="s">
        <v>224</v>
      </c>
      <c r="O69" s="80"/>
    </row>
    <row r="70" spans="1:15" ht="15">
      <c r="A70" s="104" t="s">
        <v>286</v>
      </c>
      <c r="B70" s="80">
        <v>5443001</v>
      </c>
      <c r="C70" s="104" t="s">
        <v>385</v>
      </c>
      <c r="D70" s="80"/>
      <c r="E70" s="112">
        <v>550</v>
      </c>
      <c r="F70" s="112">
        <v>550</v>
      </c>
      <c r="G70" s="133">
        <f t="shared" si="2"/>
        <v>54035.92</v>
      </c>
      <c r="H70" s="112">
        <v>20262.09</v>
      </c>
      <c r="I70" s="112">
        <f>7362.7+3116.78</f>
        <v>10479.48</v>
      </c>
      <c r="J70" s="112">
        <f>2238.26+947.5</f>
        <v>3185.76</v>
      </c>
      <c r="K70" s="112">
        <v>20108.59</v>
      </c>
      <c r="L70" s="136">
        <f aca="true" t="shared" si="3" ref="L70:L79">E70-G70</f>
        <v>-53485.92</v>
      </c>
      <c r="M70" s="106">
        <v>0.12</v>
      </c>
      <c r="N70" s="80" t="s">
        <v>289</v>
      </c>
      <c r="O70" s="80"/>
    </row>
    <row r="71" spans="1:15" ht="15">
      <c r="A71" s="104" t="s">
        <v>386</v>
      </c>
      <c r="B71" s="80">
        <v>5360001</v>
      </c>
      <c r="C71" s="104" t="s">
        <v>387</v>
      </c>
      <c r="D71" s="80"/>
      <c r="E71" s="112">
        <v>550</v>
      </c>
      <c r="F71" s="112">
        <v>550</v>
      </c>
      <c r="G71" s="133">
        <f t="shared" si="2"/>
        <v>82812.9</v>
      </c>
      <c r="H71" s="112">
        <v>41299.95</v>
      </c>
      <c r="I71" s="112">
        <f>8503.11+4068.61</f>
        <v>12571.720000000001</v>
      </c>
      <c r="J71" s="112">
        <f>2584.95+1236.86</f>
        <v>3821.8099999999995</v>
      </c>
      <c r="K71" s="112">
        <v>25119.42</v>
      </c>
      <c r="L71" s="136">
        <f t="shared" si="3"/>
        <v>-82262.9</v>
      </c>
      <c r="M71" s="106">
        <v>0.155</v>
      </c>
      <c r="N71" s="80" t="s">
        <v>289</v>
      </c>
      <c r="O71" s="80"/>
    </row>
    <row r="72" spans="1:15" ht="30">
      <c r="A72" s="104" t="s">
        <v>388</v>
      </c>
      <c r="B72" s="80">
        <v>5260001</v>
      </c>
      <c r="C72" s="104" t="s">
        <v>368</v>
      </c>
      <c r="D72" s="80"/>
      <c r="E72" s="112">
        <v>3949851.54</v>
      </c>
      <c r="F72" s="112">
        <v>2843893.1</v>
      </c>
      <c r="G72" s="134">
        <f t="shared" si="2"/>
        <v>297193.28</v>
      </c>
      <c r="H72" s="112">
        <v>274500</v>
      </c>
      <c r="I72" s="112">
        <f>7663.64+3699.19</f>
        <v>11362.83</v>
      </c>
      <c r="J72" s="112">
        <f>2329.75+1124.55</f>
        <v>3454.3</v>
      </c>
      <c r="K72" s="112">
        <v>7876.15</v>
      </c>
      <c r="L72" s="136">
        <f t="shared" si="3"/>
        <v>3652658.26</v>
      </c>
      <c r="M72" s="106"/>
      <c r="N72" s="80"/>
      <c r="O72" s="80"/>
    </row>
    <row r="73" spans="1:15" ht="16.5" customHeight="1">
      <c r="A73" s="104" t="s">
        <v>389</v>
      </c>
      <c r="B73" s="80">
        <v>5371001</v>
      </c>
      <c r="C73" s="104" t="s">
        <v>390</v>
      </c>
      <c r="D73" s="80"/>
      <c r="E73" s="112">
        <v>17294.91</v>
      </c>
      <c r="F73" s="112">
        <v>7782.71</v>
      </c>
      <c r="G73" s="179">
        <f t="shared" si="2"/>
        <v>44729.39</v>
      </c>
      <c r="H73" s="112">
        <v>7525.72</v>
      </c>
      <c r="I73" s="112">
        <f>7753.22+6216.52</f>
        <v>13969.740000000002</v>
      </c>
      <c r="J73" s="112">
        <f>2356.98+1889.82</f>
        <v>4246.8</v>
      </c>
      <c r="K73" s="112">
        <v>18987.13</v>
      </c>
      <c r="L73" s="136">
        <f t="shared" si="3"/>
        <v>-27434.48</v>
      </c>
      <c r="M73" s="106">
        <v>0.023</v>
      </c>
      <c r="N73" s="80" t="s">
        <v>230</v>
      </c>
      <c r="O73" s="80"/>
    </row>
    <row r="74" spans="1:15" ht="30">
      <c r="A74" s="104" t="s">
        <v>391</v>
      </c>
      <c r="B74" s="80">
        <v>5260001</v>
      </c>
      <c r="C74" s="104" t="s">
        <v>392</v>
      </c>
      <c r="D74" s="80"/>
      <c r="E74" s="80">
        <v>3949851.54</v>
      </c>
      <c r="F74" s="112">
        <v>2843893.1</v>
      </c>
      <c r="G74" s="134">
        <f t="shared" si="2"/>
        <v>303986.51999999996</v>
      </c>
      <c r="H74" s="112">
        <v>278362.6</v>
      </c>
      <c r="I74" s="112">
        <f>7663.64+3699.19</f>
        <v>11362.83</v>
      </c>
      <c r="J74" s="112">
        <f>2329.75+1124.55</f>
        <v>3454.3</v>
      </c>
      <c r="K74" s="112">
        <v>10806.79</v>
      </c>
      <c r="L74" s="136">
        <f t="shared" si="3"/>
        <v>3645865.02</v>
      </c>
      <c r="M74" s="106"/>
      <c r="N74" s="80"/>
      <c r="O74" s="80"/>
    </row>
    <row r="75" spans="1:15" ht="30">
      <c r="A75" s="104" t="s">
        <v>393</v>
      </c>
      <c r="B75" s="80">
        <v>5384001</v>
      </c>
      <c r="C75" s="104" t="s">
        <v>394</v>
      </c>
      <c r="D75" s="80"/>
      <c r="E75" s="112">
        <v>17294.9</v>
      </c>
      <c r="F75" s="112">
        <v>17294.9</v>
      </c>
      <c r="G75" s="135">
        <f t="shared" si="2"/>
        <v>216457.24999999997</v>
      </c>
      <c r="H75" s="112">
        <v>190833.33</v>
      </c>
      <c r="I75" s="112">
        <f>7663.64+3699.19</f>
        <v>11362.83</v>
      </c>
      <c r="J75" s="112">
        <f>2329.75+1124.55</f>
        <v>3454.3</v>
      </c>
      <c r="K75" s="112">
        <v>10806.79</v>
      </c>
      <c r="L75" s="136">
        <f t="shared" si="3"/>
        <v>-199162.34999999998</v>
      </c>
      <c r="M75" s="176"/>
      <c r="N75" s="107"/>
      <c r="O75" s="80"/>
    </row>
    <row r="76" spans="1:15" ht="30">
      <c r="A76" s="104" t="s">
        <v>395</v>
      </c>
      <c r="B76" s="80">
        <v>5446001</v>
      </c>
      <c r="C76" s="104" t="s">
        <v>396</v>
      </c>
      <c r="D76" s="80"/>
      <c r="E76" s="112">
        <v>17294.9</v>
      </c>
      <c r="F76" s="112">
        <v>17294.9</v>
      </c>
      <c r="G76" s="135">
        <f t="shared" si="2"/>
        <v>293123.92</v>
      </c>
      <c r="H76" s="112">
        <v>267500</v>
      </c>
      <c r="I76" s="112">
        <f>7663.64+3699.19</f>
        <v>11362.83</v>
      </c>
      <c r="J76" s="112">
        <f>2329.75+1124.55</f>
        <v>3454.3</v>
      </c>
      <c r="K76" s="112">
        <v>10806.79</v>
      </c>
      <c r="L76" s="136">
        <f t="shared" si="3"/>
        <v>-275829.01999999996</v>
      </c>
      <c r="M76" s="176"/>
      <c r="N76" s="107"/>
      <c r="O76" s="80"/>
    </row>
    <row r="77" spans="1:15" ht="15">
      <c r="A77" s="104" t="s">
        <v>356</v>
      </c>
      <c r="B77" s="80">
        <v>5375001</v>
      </c>
      <c r="C77" s="104" t="s">
        <v>397</v>
      </c>
      <c r="D77" s="80"/>
      <c r="E77" s="112">
        <v>17294.9</v>
      </c>
      <c r="F77" s="112">
        <v>17294.9</v>
      </c>
      <c r="G77" s="135">
        <f t="shared" si="2"/>
        <v>106954.3</v>
      </c>
      <c r="H77" s="112">
        <v>76942.41</v>
      </c>
      <c r="I77" s="112">
        <f>6222.28+3116.78</f>
        <v>9339.06</v>
      </c>
      <c r="J77" s="112">
        <f>1891.57+947.5</f>
        <v>2839.0699999999997</v>
      </c>
      <c r="K77" s="112">
        <v>17833.76</v>
      </c>
      <c r="L77" s="136">
        <f t="shared" si="3"/>
        <v>-89659.4</v>
      </c>
      <c r="M77" s="106">
        <v>0.225</v>
      </c>
      <c r="N77" s="80" t="s">
        <v>300</v>
      </c>
      <c r="O77" s="80"/>
    </row>
    <row r="78" spans="1:15" ht="30">
      <c r="A78" s="104" t="s">
        <v>398</v>
      </c>
      <c r="B78" s="80">
        <v>5384001</v>
      </c>
      <c r="C78" s="104" t="s">
        <v>394</v>
      </c>
      <c r="D78" s="80"/>
      <c r="E78" s="112">
        <v>17294.9</v>
      </c>
      <c r="F78" s="112">
        <v>17294.9</v>
      </c>
      <c r="G78" s="135">
        <f t="shared" si="2"/>
        <v>101136.50999999998</v>
      </c>
      <c r="H78" s="112">
        <v>61875.77</v>
      </c>
      <c r="I78" s="112">
        <f>8503.11+4068.61</f>
        <v>12571.720000000001</v>
      </c>
      <c r="J78" s="112">
        <f>2584.95+1236.86</f>
        <v>3821.8099999999995</v>
      </c>
      <c r="K78" s="112">
        <v>22867.21</v>
      </c>
      <c r="L78" s="136">
        <f t="shared" si="3"/>
        <v>-83841.60999999999</v>
      </c>
      <c r="M78" s="106">
        <v>0.12</v>
      </c>
      <c r="N78" s="80" t="s">
        <v>300</v>
      </c>
      <c r="O78" s="80"/>
    </row>
    <row r="79" spans="1:15" ht="15">
      <c r="A79" s="104" t="s">
        <v>217</v>
      </c>
      <c r="B79" s="80"/>
      <c r="C79" s="104"/>
      <c r="D79" s="80"/>
      <c r="E79" s="112">
        <f>SUM(E5:E78)</f>
        <v>33519647.22</v>
      </c>
      <c r="F79" s="112">
        <f>SUM(F5:F78)</f>
        <v>21656492.63</v>
      </c>
      <c r="G79" s="134">
        <f t="shared" si="2"/>
        <v>15814160.11</v>
      </c>
      <c r="H79" s="112">
        <f>SUM(H5:H78)</f>
        <v>10551956.959999999</v>
      </c>
      <c r="I79" s="112">
        <f>SUM(I5:I78)</f>
        <v>2490973.6600000006</v>
      </c>
      <c r="J79" s="112">
        <f>SUM(J5:J78)</f>
        <v>757165.4900000005</v>
      </c>
      <c r="K79" s="112">
        <f>SUM(K5:K78)</f>
        <v>2014063.9999999995</v>
      </c>
      <c r="L79" s="136">
        <f t="shared" si="3"/>
        <v>17705487.11</v>
      </c>
      <c r="M79" s="106"/>
      <c r="N79" s="80"/>
      <c r="O79" s="80"/>
    </row>
    <row r="80" spans="1:14" ht="15">
      <c r="A80" s="115"/>
      <c r="B80" s="116"/>
      <c r="C80" s="115"/>
      <c r="D80" s="116"/>
      <c r="E80" s="116"/>
      <c r="F80" s="116"/>
      <c r="G80" s="117">
        <f>G79+'20'!H112</f>
        <v>17106525.75</v>
      </c>
      <c r="H80" s="117"/>
      <c r="I80" s="117"/>
      <c r="J80" s="117"/>
      <c r="K80" s="117"/>
      <c r="L80" s="118"/>
      <c r="M80" s="119"/>
      <c r="N80" s="116"/>
    </row>
    <row r="81" spans="1:14" ht="15">
      <c r="A81" s="115"/>
      <c r="B81" s="116"/>
      <c r="C81" s="115"/>
      <c r="D81" s="116"/>
      <c r="E81" s="116"/>
      <c r="F81" s="116"/>
      <c r="G81" s="117"/>
      <c r="H81" s="117"/>
      <c r="I81" s="117"/>
      <c r="J81" s="117"/>
      <c r="K81" s="117"/>
      <c r="L81" s="118"/>
      <c r="M81" s="119"/>
      <c r="N81" s="116"/>
    </row>
    <row r="82" spans="1:14" ht="15">
      <c r="A82" s="115"/>
      <c r="B82" s="116"/>
      <c r="C82" s="115"/>
      <c r="D82" s="116"/>
      <c r="E82" s="116"/>
      <c r="F82" s="116"/>
      <c r="G82" s="117"/>
      <c r="H82" s="117"/>
      <c r="I82" s="117"/>
      <c r="J82" s="117"/>
      <c r="K82" s="117"/>
      <c r="L82" s="118"/>
      <c r="M82" s="119"/>
      <c r="N82" s="116"/>
    </row>
  </sheetData>
  <sheetProtection/>
  <autoFilter ref="A1:A82"/>
  <mergeCells count="14">
    <mergeCell ref="M2:N2"/>
    <mergeCell ref="A3:A4"/>
    <mergeCell ref="B3:B4"/>
    <mergeCell ref="C3:C4"/>
    <mergeCell ref="D3:D4"/>
    <mergeCell ref="E3:E4"/>
    <mergeCell ref="F3:F4"/>
    <mergeCell ref="G3:K3"/>
    <mergeCell ref="L3:L4"/>
    <mergeCell ref="M3:N3"/>
    <mergeCell ref="O3:O4"/>
    <mergeCell ref="O5:O7"/>
    <mergeCell ref="O9:O10"/>
    <mergeCell ref="O14:O18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zoomScalePageLayoutView="0" workbookViewId="0" topLeftCell="A10">
      <selection activeCell="A25" sqref="A25:D30"/>
    </sheetView>
  </sheetViews>
  <sheetFormatPr defaultColWidth="9.140625" defaultRowHeight="15"/>
  <cols>
    <col min="1" max="1" width="9.57421875" style="184" customWidth="1"/>
    <col min="2" max="2" width="46.8515625" style="184" customWidth="1"/>
    <col min="3" max="3" width="9.140625" style="184" customWidth="1"/>
    <col min="4" max="4" width="13.7109375" style="184" customWidth="1"/>
    <col min="5" max="5" width="22.00390625" style="184" customWidth="1"/>
    <col min="6" max="6" width="19.28125" style="184" customWidth="1"/>
    <col min="7" max="7" width="16.8515625" style="184" customWidth="1"/>
    <col min="8" max="8" width="11.421875" style="184" bestFit="1" customWidth="1"/>
    <col min="9" max="16384" width="9.140625" style="184" customWidth="1"/>
  </cols>
  <sheetData>
    <row r="1" spans="1:7" ht="15.75">
      <c r="A1" s="341" t="s">
        <v>0</v>
      </c>
      <c r="B1" s="341"/>
      <c r="C1" s="341"/>
      <c r="D1" s="341"/>
      <c r="E1" s="341"/>
      <c r="F1" s="341"/>
      <c r="G1" s="341"/>
    </row>
    <row r="2" spans="1:7" ht="15.75">
      <c r="A2" s="341" t="s">
        <v>1</v>
      </c>
      <c r="B2" s="341"/>
      <c r="C2" s="341"/>
      <c r="D2" s="341"/>
      <c r="E2" s="341"/>
      <c r="F2" s="341"/>
      <c r="G2" s="341"/>
    </row>
    <row r="3" spans="1:7" ht="15.75">
      <c r="A3" s="342"/>
      <c r="B3" s="342"/>
      <c r="C3" s="342"/>
      <c r="D3" s="342"/>
      <c r="E3" s="342"/>
      <c r="F3" s="342"/>
      <c r="G3" s="342"/>
    </row>
    <row r="4" spans="1:7" ht="78.75" customHeight="1">
      <c r="A4" s="343" t="s">
        <v>54</v>
      </c>
      <c r="B4" s="343"/>
      <c r="C4" s="343"/>
      <c r="D4" s="343"/>
      <c r="E4" s="343"/>
      <c r="F4" s="343"/>
      <c r="G4" s="343"/>
    </row>
    <row r="5" spans="1:7" ht="15.75">
      <c r="A5" s="339" t="s">
        <v>2</v>
      </c>
      <c r="B5" s="339"/>
      <c r="C5" s="339"/>
      <c r="D5" s="339"/>
      <c r="E5" s="339"/>
      <c r="F5" s="339"/>
      <c r="G5" s="339"/>
    </row>
    <row r="6" spans="1:7" ht="19.5" thickBot="1">
      <c r="A6" s="340"/>
      <c r="B6" s="340"/>
      <c r="C6" s="340"/>
      <c r="D6" s="340"/>
      <c r="E6" s="340"/>
      <c r="F6" s="340"/>
      <c r="G6" s="340"/>
    </row>
    <row r="7" spans="1:7" ht="63.75" thickBot="1">
      <c r="A7" s="237" t="s">
        <v>3</v>
      </c>
      <c r="B7" s="238" t="s">
        <v>4</v>
      </c>
      <c r="C7" s="239" t="s">
        <v>5</v>
      </c>
      <c r="D7" s="240" t="s">
        <v>6</v>
      </c>
      <c r="E7" s="240" t="s">
        <v>7</v>
      </c>
      <c r="F7" s="240" t="s">
        <v>52</v>
      </c>
      <c r="G7" s="238" t="s">
        <v>9</v>
      </c>
    </row>
    <row r="8" spans="1:7" ht="15.75">
      <c r="A8" s="241" t="s">
        <v>10</v>
      </c>
      <c r="B8" s="242" t="s">
        <v>11</v>
      </c>
      <c r="C8" s="243"/>
      <c r="D8" s="244"/>
      <c r="E8" s="244"/>
      <c r="F8" s="244"/>
      <c r="G8" s="245"/>
    </row>
    <row r="9" spans="1:8" ht="15.75">
      <c r="A9" s="246" t="s">
        <v>55</v>
      </c>
      <c r="B9" s="247" t="s">
        <v>57</v>
      </c>
      <c r="C9" s="248">
        <v>2020</v>
      </c>
      <c r="D9" s="249">
        <v>0.4</v>
      </c>
      <c r="E9" s="249">
        <f>SUM('[7]Приложение 1_2020 год'!$F$7:$F$51)*1000</f>
        <v>5660.000000000001</v>
      </c>
      <c r="F9" s="250">
        <f>SUM('[8]Приложение 1_2020 год'!$G$7:$G$52)</f>
        <v>1070.1</v>
      </c>
      <c r="G9" s="323">
        <f>SUM('[7]Приложение 1_2020 год'!$H$7:$H$51)/1000</f>
        <v>1386.4901491263943</v>
      </c>
      <c r="H9" s="252"/>
    </row>
    <row r="10" spans="1:8" ht="15.75">
      <c r="A10" s="246" t="s">
        <v>38</v>
      </c>
      <c r="B10" s="247" t="s">
        <v>14</v>
      </c>
      <c r="C10" s="248">
        <v>2020</v>
      </c>
      <c r="D10" s="249">
        <v>0.4</v>
      </c>
      <c r="E10" s="249">
        <f>SUM('[7]Приложение 1_2020 год'!$F$53:$F$77)*1000</f>
        <v>6100.000000000001</v>
      </c>
      <c r="F10" s="250">
        <f>SUM('[8]Приложение 1_2020 год'!$G$54:$G$78)</f>
        <v>1188.05</v>
      </c>
      <c r="G10" s="323">
        <f>SUM('[7]Приложение 1_2020 год'!$H$53:$H$77)/1000</f>
        <v>2157.1806673978385</v>
      </c>
      <c r="H10" s="252"/>
    </row>
    <row r="11" spans="1:8" ht="32.25" thickBot="1">
      <c r="A11" s="246" t="s">
        <v>38</v>
      </c>
      <c r="B11" s="253" t="s">
        <v>14</v>
      </c>
      <c r="C11" s="248">
        <v>2020</v>
      </c>
      <c r="D11" s="121" t="s">
        <v>58</v>
      </c>
      <c r="E11" s="249">
        <f>'[7]Приложение 1_2020 год'!$F$79*1000</f>
        <v>610</v>
      </c>
      <c r="F11" s="250">
        <f>'[8]Приложение 1_2020 год'!$G$80</f>
        <v>50</v>
      </c>
      <c r="G11" s="324">
        <f>'[7]Приложение 1_2020 год'!$H$79/1000</f>
        <v>279.73558999999995</v>
      </c>
      <c r="H11" s="252"/>
    </row>
    <row r="12" spans="1:8" ht="15.75">
      <c r="A12" s="241" t="s">
        <v>15</v>
      </c>
      <c r="B12" s="242" t="s">
        <v>16</v>
      </c>
      <c r="C12" s="243"/>
      <c r="D12" s="244"/>
      <c r="E12" s="244"/>
      <c r="F12" s="244"/>
      <c r="G12" s="325"/>
      <c r="H12" s="252"/>
    </row>
    <row r="13" spans="1:8" ht="15.75">
      <c r="A13" s="246" t="s">
        <v>667</v>
      </c>
      <c r="B13" s="253" t="s">
        <v>668</v>
      </c>
      <c r="C13" s="248">
        <v>2020</v>
      </c>
      <c r="D13" s="249">
        <v>0.4</v>
      </c>
      <c r="E13" s="121">
        <f>SUM('[7]Приложение 1_2020 год'!$F$115:$F$117)*1000</f>
        <v>53</v>
      </c>
      <c r="F13" s="250">
        <f>SUM('[8]Приложение 1_2020 год'!$G$116:$G$118)</f>
        <v>378</v>
      </c>
      <c r="G13" s="324">
        <f>SUM('[7]Приложение 1_2020 год'!$H$115:$H$117)/1000</f>
        <v>59.83729743612205</v>
      </c>
      <c r="H13" s="252"/>
    </row>
    <row r="14" spans="1:8" ht="31.5">
      <c r="A14" s="246" t="s">
        <v>240</v>
      </c>
      <c r="B14" s="253" t="s">
        <v>14</v>
      </c>
      <c r="C14" s="248">
        <v>2020</v>
      </c>
      <c r="D14" s="249">
        <v>0.4</v>
      </c>
      <c r="E14" s="121">
        <f>SUM('[7]Приложение 1_2020 год'!$F$102:$F$113)*1000</f>
        <v>490.0000000000001</v>
      </c>
      <c r="F14" s="250">
        <f>SUM('[8]Приложение 1_2020 год'!$G$103:$G$114)</f>
        <v>1080</v>
      </c>
      <c r="G14" s="324">
        <f>SUM('[7]Приложение 1_2020 год'!$H$102:$H$113)/1000</f>
        <v>637.069280972287</v>
      </c>
      <c r="H14" s="252"/>
    </row>
    <row r="15" spans="1:9" ht="31.5">
      <c r="A15" s="246" t="s">
        <v>239</v>
      </c>
      <c r="B15" s="253" t="s">
        <v>19</v>
      </c>
      <c r="C15" s="248">
        <v>2020</v>
      </c>
      <c r="D15" s="249">
        <v>0.4</v>
      </c>
      <c r="E15" s="121">
        <f>SUM('[7]Приложение 1_2020 год'!$F$83:$F$100)*1000</f>
        <v>1988.9999999999998</v>
      </c>
      <c r="F15" s="255">
        <f>SUM('[8]Приложение 1_2020 год'!$G$84:$G$101)</f>
        <v>1834.63</v>
      </c>
      <c r="G15" s="323">
        <f>SUM('[7]Приложение 1_2020 год'!$H$83:$H$100)/1000</f>
        <v>2062.054693203976</v>
      </c>
      <c r="H15" s="252"/>
      <c r="I15" s="256"/>
    </row>
    <row r="16" spans="1:8" ht="15.75">
      <c r="A16" s="246" t="s">
        <v>238</v>
      </c>
      <c r="B16" s="253" t="s">
        <v>20</v>
      </c>
      <c r="C16" s="248">
        <v>2020</v>
      </c>
      <c r="D16" s="249">
        <v>0.4</v>
      </c>
      <c r="E16" s="121"/>
      <c r="F16" s="250"/>
      <c r="G16" s="324"/>
      <c r="H16" s="252"/>
    </row>
    <row r="17" spans="1:8" ht="31.5">
      <c r="A17" s="246" t="s">
        <v>651</v>
      </c>
      <c r="B17" s="253" t="s">
        <v>14</v>
      </c>
      <c r="C17" s="248">
        <v>2020</v>
      </c>
      <c r="D17" s="121" t="s">
        <v>58</v>
      </c>
      <c r="E17" s="121">
        <f>SUM('[7]Приложение 1_2020 год'!$F$119:$F$120)*1000</f>
        <v>162</v>
      </c>
      <c r="F17" s="255">
        <f>SUM('[8]Приложение 1_2020 год'!$G$120:$G$121)</f>
        <v>270</v>
      </c>
      <c r="G17" s="324">
        <f>SUM('[7]Приложение 1_2020 год'!$H$119:$H$120)/1000</f>
        <v>235.80826666666667</v>
      </c>
      <c r="H17" s="252"/>
    </row>
    <row r="18" spans="1:8" ht="15.75">
      <c r="A18" s="257" t="s">
        <v>652</v>
      </c>
      <c r="B18" s="253" t="s">
        <v>21</v>
      </c>
      <c r="C18" s="248">
        <v>2020</v>
      </c>
      <c r="D18" s="121" t="s">
        <v>58</v>
      </c>
      <c r="E18" s="121">
        <f>SUM('[7]Приложение 1_2020 год'!$F$122:$F$123)*1000</f>
        <v>711</v>
      </c>
      <c r="F18" s="250">
        <f>SUM('[8]Приложение 1_2020 год'!$G$123:$G$124)</f>
        <v>298</v>
      </c>
      <c r="G18" s="324">
        <f>SUM('[7]Приложение 1_2020 год'!$H$122:$H$123)/1000</f>
        <v>805.88553</v>
      </c>
      <c r="H18" s="252"/>
    </row>
    <row r="19" spans="1:8" ht="31.5">
      <c r="A19" s="257"/>
      <c r="B19" s="253" t="s">
        <v>14</v>
      </c>
      <c r="C19" s="248">
        <v>2020</v>
      </c>
      <c r="D19" s="121">
        <v>0.4</v>
      </c>
      <c r="E19" s="121"/>
      <c r="F19" s="121"/>
      <c r="G19" s="324"/>
      <c r="H19" s="252"/>
    </row>
    <row r="20" spans="1:8" ht="31.5">
      <c r="A20" s="257"/>
      <c r="B20" s="253" t="s">
        <v>19</v>
      </c>
      <c r="C20" s="248">
        <v>2020</v>
      </c>
      <c r="D20" s="249" t="s">
        <v>44</v>
      </c>
      <c r="E20" s="121"/>
      <c r="F20" s="121"/>
      <c r="G20" s="324"/>
      <c r="H20" s="252"/>
    </row>
    <row r="21" spans="1:8" ht="16.5" thickBot="1">
      <c r="A21" s="257"/>
      <c r="B21" s="253" t="s">
        <v>20</v>
      </c>
      <c r="C21" s="248">
        <v>2020</v>
      </c>
      <c r="D21" s="249">
        <v>0.4</v>
      </c>
      <c r="E21" s="121"/>
      <c r="F21" s="121"/>
      <c r="G21" s="324"/>
      <c r="H21" s="252"/>
    </row>
    <row r="22" spans="1:8" ht="15.75">
      <c r="A22" s="241" t="s">
        <v>26</v>
      </c>
      <c r="B22" s="242" t="s">
        <v>25</v>
      </c>
      <c r="C22" s="243" t="s">
        <v>50</v>
      </c>
      <c r="D22" s="244" t="s">
        <v>50</v>
      </c>
      <c r="E22" s="244" t="s">
        <v>50</v>
      </c>
      <c r="F22" s="244" t="s">
        <v>50</v>
      </c>
      <c r="G22" s="325" t="s">
        <v>50</v>
      </c>
      <c r="H22" s="252"/>
    </row>
    <row r="23" spans="1:8" ht="31.5">
      <c r="A23" s="257" t="s">
        <v>669</v>
      </c>
      <c r="B23" s="258" t="s">
        <v>670</v>
      </c>
      <c r="C23" s="248">
        <v>2020</v>
      </c>
      <c r="D23" s="249" t="s">
        <v>51</v>
      </c>
      <c r="E23" s="249"/>
      <c r="F23" s="249">
        <f>'[8]Приложение 1_2020 год'!$G$127</f>
        <v>150</v>
      </c>
      <c r="G23" s="323">
        <f>'[7]Приложение 1_2020 год'!$H$126/1000</f>
        <v>126.62131000000001</v>
      </c>
      <c r="H23" s="252"/>
    </row>
    <row r="24" spans="1:7" ht="16.5" thickBot="1">
      <c r="A24" s="326"/>
      <c r="B24" s="327"/>
      <c r="C24" s="328"/>
      <c r="D24" s="329"/>
      <c r="E24" s="330"/>
      <c r="F24" s="330"/>
      <c r="G24" s="331"/>
    </row>
    <row r="25" spans="1:7" ht="31.5">
      <c r="A25" s="241" t="s">
        <v>32</v>
      </c>
      <c r="B25" s="242" t="s">
        <v>599</v>
      </c>
      <c r="C25" s="243" t="s">
        <v>50</v>
      </c>
      <c r="D25" s="244" t="s">
        <v>50</v>
      </c>
      <c r="E25" s="244" t="s">
        <v>50</v>
      </c>
      <c r="F25" s="244" t="s">
        <v>50</v>
      </c>
      <c r="G25" s="325" t="s">
        <v>50</v>
      </c>
    </row>
    <row r="26" spans="1:7" ht="15.75">
      <c r="A26" s="257" t="s">
        <v>671</v>
      </c>
      <c r="B26" s="258" t="s">
        <v>600</v>
      </c>
      <c r="C26" s="248">
        <v>2020</v>
      </c>
      <c r="D26" s="249" t="s">
        <v>51</v>
      </c>
      <c r="E26" s="249"/>
      <c r="F26" s="249">
        <f>SUM('[8]Приложение 1_2020 год'!$G$136:$G$141)</f>
        <v>638</v>
      </c>
      <c r="G26" s="323">
        <f>SUM('[7]Приложение 1_2020 год'!$H$135:$H$140)/1000</f>
        <v>2539.3342900000002</v>
      </c>
    </row>
    <row r="27" spans="1:7" ht="16.5" thickBot="1">
      <c r="A27" s="257" t="s">
        <v>654</v>
      </c>
      <c r="B27" s="258" t="s">
        <v>143</v>
      </c>
      <c r="C27" s="248">
        <v>2020</v>
      </c>
      <c r="D27" s="249" t="s">
        <v>51</v>
      </c>
      <c r="E27" s="249"/>
      <c r="F27" s="249">
        <f>SUM('[8]Приложение 1_2020 год'!$G$143:$G$144)</f>
        <v>100</v>
      </c>
      <c r="G27" s="323">
        <f>SUM('[7]Приложение 1_2020 год'!$H$142:$H$143)/1000</f>
        <v>1450.9763</v>
      </c>
    </row>
    <row r="28" spans="1:7" ht="48" thickBot="1">
      <c r="A28" s="34" t="s">
        <v>34</v>
      </c>
      <c r="B28" s="35" t="s">
        <v>33</v>
      </c>
      <c r="C28" s="36"/>
      <c r="D28" s="37" t="s">
        <v>50</v>
      </c>
      <c r="E28" s="37" t="s">
        <v>50</v>
      </c>
      <c r="F28" s="37" t="s">
        <v>50</v>
      </c>
      <c r="G28" s="38" t="s">
        <v>50</v>
      </c>
    </row>
    <row r="29" spans="1:7" ht="48" thickBot="1">
      <c r="A29" s="34" t="s">
        <v>673</v>
      </c>
      <c r="B29" s="35" t="s">
        <v>35</v>
      </c>
      <c r="C29" s="36" t="s">
        <v>50</v>
      </c>
      <c r="D29" s="37" t="s">
        <v>50</v>
      </c>
      <c r="E29" s="37" t="s">
        <v>50</v>
      </c>
      <c r="F29" s="37" t="s">
        <v>50</v>
      </c>
      <c r="G29" s="38" t="s">
        <v>50</v>
      </c>
    </row>
    <row r="30" spans="1:7" ht="32.25" thickBot="1">
      <c r="A30" s="34" t="s">
        <v>674</v>
      </c>
      <c r="B30" s="35" t="s">
        <v>672</v>
      </c>
      <c r="C30" s="36">
        <f>C27</f>
        <v>2020</v>
      </c>
      <c r="D30" s="37" t="s">
        <v>50</v>
      </c>
      <c r="E30" s="332">
        <f>'[9]4.ВД до 15'!$D$21</f>
        <v>47</v>
      </c>
      <c r="F30" s="37" t="s">
        <v>50</v>
      </c>
      <c r="G30" s="333">
        <f>'[9]4.ВД до 15'!$E$21</f>
        <v>526.3039999999999</v>
      </c>
    </row>
  </sheetData>
  <sheetProtection/>
  <mergeCells count="6">
    <mergeCell ref="A1:G1"/>
    <mergeCell ref="A2:G2"/>
    <mergeCell ref="A3:G3"/>
    <mergeCell ref="A4:G4"/>
    <mergeCell ref="A5:G5"/>
    <mergeCell ref="A6:G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Емельянова Анна Павловна</dc:creator>
  <cp:keywords/>
  <dc:description/>
  <cp:lastModifiedBy>sekachevaaa</cp:lastModifiedBy>
  <cp:lastPrinted>2021-10-29T07:23:34Z</cp:lastPrinted>
  <dcterms:created xsi:type="dcterms:W3CDTF">2017-11-01T13:34:18Z</dcterms:created>
  <dcterms:modified xsi:type="dcterms:W3CDTF">2021-10-29T07:23:36Z</dcterms:modified>
  <cp:category/>
  <cp:version/>
  <cp:contentType/>
  <cp:contentStatus/>
</cp:coreProperties>
</file>